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460" activeTab="0"/>
  </bookViews>
  <sheets>
    <sheet name="new version" sheetId="1" r:id="rId1"/>
    <sheet name="Other Revenue(Details)" sheetId="2" r:id="rId2"/>
    <sheet name="FY2015 Saving Analyses" sheetId="3" r:id="rId3"/>
  </sheets>
  <definedNames>
    <definedName name="_xlnm.Print_Area" localSheetId="0">'new version'!$A$1:$H$81</definedName>
  </definedNames>
  <calcPr fullCalcOnLoad="1"/>
</workbook>
</file>

<file path=xl/comments1.xml><?xml version="1.0" encoding="utf-8"?>
<comments xmlns="http://schemas.openxmlformats.org/spreadsheetml/2006/main">
  <authors>
    <author>tsadikova</author>
  </authors>
  <commentList>
    <comment ref="F34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$25K - Personnel Adj.
$1,500 -Coastline one time payment
$16,482.37 - SSBCI Cum. Labor FY14</t>
        </r>
      </text>
    </comment>
    <comment ref="F24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$470,225 - Legal Settlement one time payment
$26,572 - MARAD Fee one time payment</t>
        </r>
      </text>
    </comment>
    <comment ref="F36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$15,400 - LGC&amp;D payment (audit)
$4,051 - Blue Moon contract payment
$20K - Consultants Fin. Serv.
$105K - Reserve for litigation (38 Studios)</t>
        </r>
      </text>
    </comment>
    <comment ref="F71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$418,930 - original
$387,910 - revised</t>
        </r>
      </text>
    </comment>
    <comment ref="D36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$1,951.46 - STEAMengine Match Contribution included
</t>
        </r>
      </text>
    </comment>
    <comment ref="D69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$3,263.21 - RI Foundation Contribution</t>
        </r>
      </text>
    </comment>
    <comment ref="D42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$50,000 - actual payment in Jan
$25,000 - accruals for Jan &amp; Feb'15
</t>
        </r>
      </text>
    </comment>
    <comment ref="F23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BBRI got extension untill 06/30/15, all labor &amp; IC reimb. 
</t>
        </r>
      </text>
    </comment>
    <comment ref="F22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$30,073.21 - SSBCI reimb for FY14 (one time payment)</t>
        </r>
      </text>
    </comment>
    <comment ref="H58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$449,237 - balance from FY2014</t>
        </r>
      </text>
    </comment>
  </commentList>
</comments>
</file>

<file path=xl/comments2.xml><?xml version="1.0" encoding="utf-8"?>
<comments xmlns="http://schemas.openxmlformats.org/spreadsheetml/2006/main">
  <authors>
    <author>tsadikova</author>
  </authors>
  <commentList>
    <comment ref="B8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$16,482.37 - cum. FY14
$4,901.89 - cum. FY15
</t>
        </r>
      </text>
    </comment>
    <comment ref="B17" authorId="0">
      <text>
        <r>
          <rPr>
            <b/>
            <sz val="9"/>
            <rFont val="Tahoma"/>
            <family val="2"/>
          </rPr>
          <t>tsadikova:</t>
        </r>
        <r>
          <rPr>
            <sz val="9"/>
            <rFont val="Tahoma"/>
            <family val="2"/>
          </rPr>
          <t xml:space="preserve">
$13,590.84 - cum. FY14
$4,028.94 - cum. FY15
</t>
        </r>
      </text>
    </comment>
  </commentList>
</comments>
</file>

<file path=xl/sharedStrings.xml><?xml version="1.0" encoding="utf-8"?>
<sst xmlns="http://schemas.openxmlformats.org/spreadsheetml/2006/main" count="142" uniqueCount="131">
  <si>
    <t>Legislative Grants</t>
  </si>
  <si>
    <t>Airport Impact Aid</t>
  </si>
  <si>
    <t>Renewable Energy Fund</t>
  </si>
  <si>
    <t>STAC Research Alliance (EPScore)</t>
  </si>
  <si>
    <t>Slater Centers of Excellence</t>
  </si>
  <si>
    <t>Broadband Rhode Island</t>
  </si>
  <si>
    <t>State Small Business Credit Initiative</t>
  </si>
  <si>
    <t>Operating Expenses</t>
  </si>
  <si>
    <t>Other</t>
  </si>
  <si>
    <t>Personnel</t>
  </si>
  <si>
    <t>SBDC</t>
  </si>
  <si>
    <t>Bryant/Trade Export Assistance</t>
  </si>
  <si>
    <t>Federal</t>
  </si>
  <si>
    <t>Total:</t>
  </si>
  <si>
    <t>Tourism Web/Upgrade &amp; Marketing (Social)</t>
  </si>
  <si>
    <t>Footnotes:</t>
  </si>
  <si>
    <t>Innovative Matching Grants</t>
  </si>
  <si>
    <t>State</t>
  </si>
  <si>
    <t>Total Other Revenues:</t>
  </si>
  <si>
    <t>Total State Appropriations:</t>
  </si>
  <si>
    <t>EXPENSES</t>
  </si>
  <si>
    <t>TOTAL EXPENSES:</t>
  </si>
  <si>
    <t>State Appropriations</t>
  </si>
  <si>
    <t>Pass-through (only) Grants</t>
  </si>
  <si>
    <t>Operating Surplus/(Deficit):</t>
  </si>
  <si>
    <t>MARAD</t>
  </si>
  <si>
    <t>DOL</t>
  </si>
  <si>
    <r>
      <t xml:space="preserve">Opening Unrestricted Balance 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>:</t>
    </r>
  </si>
  <si>
    <r>
      <t xml:space="preserve">Finance Program Reimbursements </t>
    </r>
    <r>
      <rPr>
        <b/>
        <vertAlign val="superscript"/>
        <sz val="16"/>
        <rFont val="Times New Roman"/>
        <family val="1"/>
      </rPr>
      <t>(2)</t>
    </r>
  </si>
  <si>
    <r>
      <t xml:space="preserve">Grant Reimbursements </t>
    </r>
    <r>
      <rPr>
        <b/>
        <vertAlign val="superscript"/>
        <sz val="16"/>
        <rFont val="Times New Roman"/>
        <family val="1"/>
      </rPr>
      <t>(2)</t>
    </r>
  </si>
  <si>
    <t>2 - Personnel and indirect cost reimbursements as allowable</t>
  </si>
  <si>
    <r>
      <t xml:space="preserve">Ending Unrestricted Balance 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>:</t>
    </r>
  </si>
  <si>
    <t>1 - Approximate balance; variances may exist due to cash budget vs. accrual accounting methods</t>
  </si>
  <si>
    <t>All Personnel</t>
  </si>
  <si>
    <t>State Marketing/Branding</t>
  </si>
  <si>
    <t>Volvo Ocean Race</t>
  </si>
  <si>
    <t>Fin.Serv. Personnel Reimb. &amp; IC (incl. SBLF, SSBCI, IRBA, RIIFC, REF)</t>
  </si>
  <si>
    <t xml:space="preserve">YTD Actual </t>
  </si>
  <si>
    <t>EMA/EDA</t>
  </si>
  <si>
    <t>From report Budget vs. Actual (Actual &amp; Projected)</t>
  </si>
  <si>
    <t>Only EDC expenses (from report Budget vs. Actual), Actual &amp; Projected</t>
  </si>
  <si>
    <t>Finance Program Reimbursements:</t>
  </si>
  <si>
    <t xml:space="preserve"> - SBLF Labor</t>
  </si>
  <si>
    <t xml:space="preserve"> - SSBCI Labor</t>
  </si>
  <si>
    <t xml:space="preserve"> - RIIFC Labor</t>
  </si>
  <si>
    <t xml:space="preserve"> - IRBA Labor</t>
  </si>
  <si>
    <t xml:space="preserve"> - Total Labor</t>
  </si>
  <si>
    <t xml:space="preserve"> - SBLF Indirect Costs</t>
  </si>
  <si>
    <t xml:space="preserve"> - SSBCI Indirect Costs</t>
  </si>
  <si>
    <t xml:space="preserve"> - RIIFC Indirect Costs</t>
  </si>
  <si>
    <t xml:space="preserve"> - IRBA Indirect Costs</t>
  </si>
  <si>
    <t xml:space="preserve"> - Total Indirect Costs</t>
  </si>
  <si>
    <t xml:space="preserve"> - TOTAL Financial Program Reimbursements</t>
  </si>
  <si>
    <t>Grant Reimbursements:</t>
  </si>
  <si>
    <t xml:space="preserve"> - STAC Labor</t>
  </si>
  <si>
    <t xml:space="preserve"> - PTAC Federal Funds reimb.</t>
  </si>
  <si>
    <t xml:space="preserve"> - Total Labor </t>
  </si>
  <si>
    <t xml:space="preserve"> - STAC Indirect Costs</t>
  </si>
  <si>
    <t xml:space="preserve"> - Total Indirect Costs </t>
  </si>
  <si>
    <t xml:space="preserve"> - TOTAL Grant Reimbursements</t>
  </si>
  <si>
    <t>Other Income:</t>
  </si>
  <si>
    <t xml:space="preserve"> - TOTAL Other </t>
  </si>
  <si>
    <t xml:space="preserve"> - REF Labor</t>
  </si>
  <si>
    <t xml:space="preserve"> - REF Indirect Costs</t>
  </si>
  <si>
    <t xml:space="preserve"> - BBRI Labor</t>
  </si>
  <si>
    <t xml:space="preserve"> - BBRI Indirect Costs</t>
  </si>
  <si>
    <t xml:space="preserve"> - Interest Income</t>
  </si>
  <si>
    <t xml:space="preserve"> - Other Income (acct #1-01-000-4230-001 excluding BBRI IC)</t>
  </si>
  <si>
    <t>YTD actual exp.including labor</t>
  </si>
  <si>
    <t>YTD actual exp.including labor, but don't include depreciation exp.</t>
  </si>
  <si>
    <t xml:space="preserve"> - EDC Bonds Income (acct #1-01-000-4210-000)</t>
  </si>
  <si>
    <t xml:space="preserve"> - Rental Fees (acct #1-01-000-4100-000)</t>
  </si>
  <si>
    <t>Remaining Balance</t>
  </si>
  <si>
    <t xml:space="preserve"> - MARAD Annual Fee (acct #1-01-000-4232-000)</t>
  </si>
  <si>
    <t xml:space="preserve"> - Other Income Misc. (acct #1-01-000-4240-000, refund for PTAC event)</t>
  </si>
  <si>
    <t xml:space="preserve"> - Legal Settlements (acct #1-01-000-4240-010)</t>
  </si>
  <si>
    <t>Other Revenue plus Legal Settlements</t>
  </si>
  <si>
    <t>Budget                  FY2015</t>
  </si>
  <si>
    <t>Projected  FY2015</t>
  </si>
  <si>
    <t>Budget vs. Actual FY2015</t>
  </si>
  <si>
    <t>TOTAL SOURCES (Cash, Revenues):</t>
  </si>
  <si>
    <t>Revenues</t>
  </si>
  <si>
    <t>Total Revenues:</t>
  </si>
  <si>
    <t>Grant Expenses - RICC Contributions/Match</t>
  </si>
  <si>
    <r>
      <t>Partnerships Funded by RICC (</t>
    </r>
    <r>
      <rPr>
        <sz val="12"/>
        <rFont val="Times New Roman"/>
        <family val="1"/>
      </rPr>
      <t>excl. leg grants</t>
    </r>
    <r>
      <rPr>
        <sz val="16"/>
        <rFont val="Times New Roman"/>
        <family val="1"/>
      </rPr>
      <t>):</t>
    </r>
  </si>
  <si>
    <t>Base (RICC) State Appropriation</t>
  </si>
  <si>
    <t>Rhode Island Commerce Corporation</t>
  </si>
  <si>
    <t>Other Revenues</t>
  </si>
  <si>
    <r>
      <t xml:space="preserve">    Board Special Projects Fund </t>
    </r>
    <r>
      <rPr>
        <b/>
        <vertAlign val="superscript"/>
        <sz val="16"/>
        <rFont val="Times New Roman"/>
        <family val="1"/>
      </rPr>
      <t>(3)</t>
    </r>
  </si>
  <si>
    <t xml:space="preserve">    Litigation Contingency</t>
  </si>
  <si>
    <r>
      <t xml:space="preserve">PTAC </t>
    </r>
    <r>
      <rPr>
        <vertAlign val="superscript"/>
        <sz val="16"/>
        <rFont val="Times New Roman"/>
        <family val="1"/>
      </rPr>
      <t>(4)</t>
    </r>
  </si>
  <si>
    <t>4 - Net PTAC activity which reflecs in-kind contribution</t>
  </si>
  <si>
    <t>3 - To be used upon board approval for leveraging federal/state funds as part of economic development projects</t>
  </si>
  <si>
    <t>RICC</t>
  </si>
  <si>
    <t>BBRI</t>
  </si>
  <si>
    <t>BBRI, PTAC, STAC Personnel &amp; IC reimb. (BBRI untill 01/31/15)</t>
  </si>
  <si>
    <t>BBRI, PTAC, STAC, Fin. Serv. Group  (BBRI untill 01/31/15)</t>
  </si>
  <si>
    <t xml:space="preserve"> - Transfer from State (acct #1-01-000-4300-018, reimb. for A.Gibbs)</t>
  </si>
  <si>
    <t>PTAC (State contribution)</t>
  </si>
  <si>
    <t>Warwick Station, Agric. Mediation, L.Berger Group</t>
  </si>
  <si>
    <t>IMCP grant</t>
  </si>
  <si>
    <t>STEAMengine (OEA)</t>
  </si>
  <si>
    <t>*Only Federal funds</t>
  </si>
  <si>
    <t>only Fed. Portion</t>
  </si>
  <si>
    <t>Period Ended March 31, 2015</t>
  </si>
  <si>
    <t>FY2015 Other RICC Revenues:</t>
  </si>
  <si>
    <t xml:space="preserve"> - ARRA RLF Labor</t>
  </si>
  <si>
    <t xml:space="preserve"> - ARRA RLF Indirect Costs</t>
  </si>
  <si>
    <t>FY2015 SAVING ANALYSIS</t>
  </si>
  <si>
    <t>Projected Ending Unrestricted Balance:</t>
  </si>
  <si>
    <t>Budget Ending Unrestricted Balance:</t>
  </si>
  <si>
    <t>Surplus/(Deficit):</t>
  </si>
  <si>
    <t>Revenues:</t>
  </si>
  <si>
    <t>Opening Balance:</t>
  </si>
  <si>
    <t>- budget vs. actual</t>
  </si>
  <si>
    <t>Legal Settlement:</t>
  </si>
  <si>
    <t>- one time payment</t>
  </si>
  <si>
    <t>A. Gibbs Labor Reimbursement:</t>
  </si>
  <si>
    <t>- approximately</t>
  </si>
  <si>
    <t>Miscellaneous:</t>
  </si>
  <si>
    <t>Total Revenue Increase:</t>
  </si>
  <si>
    <t>Expenses:</t>
  </si>
  <si>
    <t>Personnel Saving:</t>
  </si>
  <si>
    <t>Operating Expenses Saving:</t>
  </si>
  <si>
    <t>PTAC RICC Contribution Saving:</t>
  </si>
  <si>
    <t>Total Operating Expenses Saving:</t>
  </si>
  <si>
    <t>TOTAL FY2015 SAVING:</t>
  </si>
  <si>
    <t>- labor &amp; indirect costs reimb. variance</t>
  </si>
  <si>
    <t>- A.Walsh (BBRI) resigned in October (decrease in BBRI reimb.) but BBRI got extension untill 06/30/15, S.Freiman labor covered by Fed.Funds (increase in BBRI reimb.)</t>
  </si>
  <si>
    <r>
      <t xml:space="preserve">    State Personnel -</t>
    </r>
    <r>
      <rPr>
        <sz val="9"/>
        <color indexed="12"/>
        <rFont val="Times New Roman"/>
        <family val="1"/>
      </rPr>
      <t xml:space="preserve"> rolled up into "Personnel"</t>
    </r>
  </si>
  <si>
    <r>
      <t xml:space="preserve">    Other Grants and Programs - </t>
    </r>
    <r>
      <rPr>
        <sz val="9"/>
        <color indexed="12"/>
        <rFont val="Times New Roman"/>
        <family val="1"/>
      </rPr>
      <t>rolled up into "Personnel"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</si>
</sst>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&quot;$&quot;#,##0.00"/>
    <numFmt numFmtId="168" formatCode="#,##0.00;\(#,##0.00\)"/>
    <numFmt numFmtId="169" formatCode="0.0000000"/>
    <numFmt numFmtId="170" formatCode="&quot;$&quot;#,##0;\(&quot;$&quot;#,##0\)"/>
    <numFmt numFmtId="171" formatCode="&quot;$&quot;#,##0"/>
    <numFmt numFmtId="172" formatCode="0.0%"/>
    <numFmt numFmtId="173" formatCode="&quot;$&quot;#,##0.00;\(&quot;$&quot;#,##0.00\)"/>
    <numFmt numFmtId="174" formatCode="_(&quot;$&quot;* #,##0_);_(&quot;$&quot;* \(#,##0\);_(&quot;$&quot;* &quot;-&quot;??_);_(@_)"/>
    <numFmt numFmtId="175" formatCode="0.00000"/>
    <numFmt numFmtId="176" formatCode="0.0"/>
    <numFmt numFmtId="177" formatCode="#,##0.0;\(#,##0.0\)"/>
    <numFmt numFmtId="178" formatCode="#,##0;\(#,##0\)"/>
    <numFmt numFmtId="179" formatCode="_(* #,##0.000_);_(* \(#,##0.000\);_(* &quot;-&quot;??_);_(@_)"/>
    <numFmt numFmtId="180" formatCode="_(* #,##0.000_);_(* \(#,##0.000\);_(* &quot;-&quot;???_);_(@_)"/>
    <numFmt numFmtId="181" formatCode="[$-409]dddd\,\ mmmm\ dd\,\ yyyy"/>
    <numFmt numFmtId="182" formatCode="[$-409]h:mm:ss\ AM/PM"/>
    <numFmt numFmtId="183" formatCode="0.0000%"/>
    <numFmt numFmtId="184" formatCode="_(&quot;$&quot;* #,##0.0_);_(&quot;$&quot;* \(#,##0.0\);_(&quot;$&quot;* &quot;-&quot;??_);_(@_)"/>
    <numFmt numFmtId="185" formatCode="_(&quot;$&quot;* #,##0.0_);_(&quot;$&quot;* \(#,##0.0\);_(&quot;$&quot;* &quot;-&quot;?_);_(@_)"/>
    <numFmt numFmtId="186" formatCode="[$-409]mmmm\ d\,\ yyyy;@"/>
    <numFmt numFmtId="187" formatCode="&quot;$&quot;#,##0.0_);[Red]\(&quot;$&quot;#,##0.0\)"/>
    <numFmt numFmtId="188" formatCode="mm/dd/yy;@"/>
    <numFmt numFmtId="189" formatCode="yyyy"/>
    <numFmt numFmtId="190" formatCode="mmmm\ dd\,\ 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00_);_(* \(#,##0.0000\);_(* &quot;-&quot;??_);_(@_)"/>
    <numFmt numFmtId="196" formatCode="_(* #,##0.0000_);_(* \(#,##0.0000\);_(* &quot;-&quot;????_);_(@_)"/>
    <numFmt numFmtId="197" formatCode="0_)"/>
    <numFmt numFmtId="198" formatCode="###0;###0"/>
    <numFmt numFmtId="199" formatCode="#,##0;#,##0"/>
    <numFmt numFmtId="200" formatCode="mm/dd/yyyy;@"/>
    <numFmt numFmtId="201" formatCode="dd/m/yyyy;@"/>
    <numFmt numFmtId="202" formatCode="d/m/yyyy;@"/>
    <numFmt numFmtId="203" formatCode="m/dd/yyyy;@"/>
    <numFmt numFmtId="204" formatCode="_(&quot;$&quot;* #,##0.000_);_(&quot;$&quot;* \(#,##0.000\);_(&quot;$&quot;* &quot;-&quot;??_);_(@_)"/>
    <numFmt numFmtId="205" formatCode="_(&quot;$&quot;* #,##0.0000_);_(&quot;$&quot;* \(#,##0.0000\);_(&quot;$&quot;* &quot;-&quot;??_);_(@_)"/>
    <numFmt numFmtId="206" formatCode="_(&quot;$&quot;* #,##0.00000_);_(&quot;$&quot;* \(#,##0.00000\);_(&quot;$&quot;* &quot;-&quot;??_);_(@_)"/>
    <numFmt numFmtId="207" formatCode="_(&quot;$&quot;* #,##0.000000_);_(&quot;$&quot;* \(#,##0.000000\);_(&quot;$&quot;* &quot;-&quot;??_);_(@_)"/>
    <numFmt numFmtId="208" formatCode="_(&quot;$&quot;* #,##0.0000000_);_(&quot;$&quot;* \(#,##0.0000000\);_(&quot;$&quot;* &quot;-&quot;??_);_(@_)"/>
    <numFmt numFmtId="209" formatCode="_(* #,##0.00_);[Red]_(* \(#,##0.00\);_(* &quot;&quot;??_);@"/>
    <numFmt numFmtId="210" formatCode="m/d/yy;@"/>
    <numFmt numFmtId="211" formatCode="0.00_);\(0.00\)"/>
    <numFmt numFmtId="212" formatCode="_(* #,##0.0_);_(* \(#,##0.0\);_(* &quot;-&quot;_)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12"/>
      <name val="Times New Roman"/>
      <family val="1"/>
    </font>
    <font>
      <vertAlign val="superscript"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9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15" fillId="25" borderId="0" applyNumberFormat="0" applyBorder="0" applyAlignment="0" applyProtection="0"/>
    <xf numFmtId="0" fontId="47" fillId="26" borderId="0" applyNumberFormat="0" applyBorder="0" applyAlignment="0" applyProtection="0"/>
    <xf numFmtId="0" fontId="15" fillId="17" borderId="0" applyNumberFormat="0" applyBorder="0" applyAlignment="0" applyProtection="0"/>
    <xf numFmtId="0" fontId="47" fillId="27" borderId="0" applyNumberFormat="0" applyBorder="0" applyAlignment="0" applyProtection="0"/>
    <xf numFmtId="0" fontId="15" fillId="19" borderId="0" applyNumberFormat="0" applyBorder="0" applyAlignment="0" applyProtection="0"/>
    <xf numFmtId="0" fontId="47" fillId="28" borderId="0" applyNumberFormat="0" applyBorder="0" applyAlignment="0" applyProtection="0"/>
    <xf numFmtId="0" fontId="15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47" fillId="34" borderId="0" applyNumberFormat="0" applyBorder="0" applyAlignment="0" applyProtection="0"/>
    <xf numFmtId="0" fontId="15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37" borderId="0" applyNumberFormat="0" applyBorder="0" applyAlignment="0" applyProtection="0"/>
    <xf numFmtId="0" fontId="47" fillId="38" borderId="0" applyNumberFormat="0" applyBorder="0" applyAlignment="0" applyProtection="0"/>
    <xf numFmtId="0" fontId="15" fillId="39" borderId="0" applyNumberFormat="0" applyBorder="0" applyAlignment="0" applyProtection="0"/>
    <xf numFmtId="0" fontId="47" fillId="40" borderId="0" applyNumberFormat="0" applyBorder="0" applyAlignment="0" applyProtection="0"/>
    <xf numFmtId="0" fontId="15" fillId="29" borderId="0" applyNumberFormat="0" applyBorder="0" applyAlignment="0" applyProtection="0"/>
    <xf numFmtId="0" fontId="47" fillId="41" borderId="0" applyNumberFormat="0" applyBorder="0" applyAlignment="0" applyProtection="0"/>
    <xf numFmtId="0" fontId="15" fillId="31" borderId="0" applyNumberFormat="0" applyBorder="0" applyAlignment="0" applyProtection="0"/>
    <xf numFmtId="0" fontId="47" fillId="42" borderId="0" applyNumberFormat="0" applyBorder="0" applyAlignment="0" applyProtection="0"/>
    <xf numFmtId="0" fontId="15" fillId="43" borderId="0" applyNumberFormat="0" applyBorder="0" applyAlignment="0" applyProtection="0"/>
    <xf numFmtId="0" fontId="48" fillId="44" borderId="0" applyNumberFormat="0" applyBorder="0" applyAlignment="0" applyProtection="0"/>
    <xf numFmtId="0" fontId="16" fillId="5" borderId="0" applyNumberFormat="0" applyBorder="0" applyAlignment="0" applyProtection="0"/>
    <xf numFmtId="0" fontId="49" fillId="45" borderId="1" applyNumberFormat="0" applyAlignment="0" applyProtection="0"/>
    <xf numFmtId="0" fontId="17" fillId="46" borderId="2" applyNumberFormat="0" applyAlignment="0" applyProtection="0"/>
    <xf numFmtId="0" fontId="50" fillId="47" borderId="3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0" fillId="7" borderId="0" applyNumberFormat="0" applyBorder="0" applyAlignment="0" applyProtection="0"/>
    <xf numFmtId="0" fontId="53" fillId="0" borderId="5" applyNumberFormat="0" applyFill="0" applyAlignment="0" applyProtection="0"/>
    <xf numFmtId="0" fontId="21" fillId="0" borderId="6" applyNumberFormat="0" applyFill="0" applyAlignment="0" applyProtection="0"/>
    <xf numFmtId="0" fontId="54" fillId="0" borderId="7" applyNumberFormat="0" applyFill="0" applyAlignment="0" applyProtection="0"/>
    <xf numFmtId="0" fontId="22" fillId="0" borderId="8" applyNumberFormat="0" applyFill="0" applyAlignment="0" applyProtection="0"/>
    <xf numFmtId="0" fontId="55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50" borderId="1" applyNumberFormat="0" applyAlignment="0" applyProtection="0"/>
    <xf numFmtId="0" fontId="24" fillId="13" borderId="2" applyNumberFormat="0" applyAlignment="0" applyProtection="0"/>
    <xf numFmtId="0" fontId="57" fillId="0" borderId="11" applyNumberFormat="0" applyFill="0" applyAlignment="0" applyProtection="0"/>
    <xf numFmtId="0" fontId="25" fillId="0" borderId="12" applyNumberFormat="0" applyFill="0" applyAlignment="0" applyProtection="0"/>
    <xf numFmtId="0" fontId="58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59" fillId="45" borderId="15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8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5" fontId="4" fillId="0" borderId="0" xfId="69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69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69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5" fillId="0" borderId="0" xfId="69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right" indent="2"/>
    </xf>
    <xf numFmtId="165" fontId="6" fillId="0" borderId="0" xfId="69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5" fillId="0" borderId="0" xfId="69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55" borderId="0" xfId="0" applyFont="1" applyFill="1" applyAlignment="1">
      <alignment horizontal="left"/>
    </xf>
    <xf numFmtId="165" fontId="5" fillId="55" borderId="0" xfId="69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165" fontId="6" fillId="0" borderId="19" xfId="69" applyNumberFormat="1" applyFont="1" applyFill="1" applyBorder="1" applyAlignment="1">
      <alignment/>
    </xf>
    <xf numFmtId="165" fontId="11" fillId="0" borderId="0" xfId="69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165" fontId="11" fillId="0" borderId="20" xfId="69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4"/>
    </xf>
    <xf numFmtId="40" fontId="5" fillId="0" borderId="0" xfId="69" applyNumberFormat="1" applyFont="1" applyFill="1" applyAlignment="1">
      <alignment/>
    </xf>
    <xf numFmtId="165" fontId="6" fillId="0" borderId="0" xfId="69" applyNumberFormat="1" applyFont="1" applyFill="1" applyBorder="1" applyAlignment="1">
      <alignment horizontal="center" vertical="center"/>
    </xf>
    <xf numFmtId="165" fontId="6" fillId="0" borderId="0" xfId="69" applyNumberFormat="1" applyFont="1" applyFill="1" applyBorder="1" applyAlignment="1">
      <alignment horizontal="center" vertical="center" wrapText="1"/>
    </xf>
    <xf numFmtId="0" fontId="9" fillId="0" borderId="0" xfId="110">
      <alignment/>
      <protection/>
    </xf>
    <xf numFmtId="0" fontId="34" fillId="46" borderId="0" xfId="110" applyFont="1" applyFill="1">
      <alignment/>
      <protection/>
    </xf>
    <xf numFmtId="0" fontId="9" fillId="46" borderId="0" xfId="110" applyFill="1">
      <alignment/>
      <protection/>
    </xf>
    <xf numFmtId="0" fontId="9" fillId="0" borderId="0" xfId="110" quotePrefix="1">
      <alignment/>
      <protection/>
    </xf>
    <xf numFmtId="0" fontId="32" fillId="0" borderId="0" xfId="110" applyFont="1" quotePrefix="1">
      <alignment/>
      <protection/>
    </xf>
    <xf numFmtId="0" fontId="32" fillId="0" borderId="0" xfId="110" applyFont="1">
      <alignment/>
      <protection/>
    </xf>
    <xf numFmtId="6" fontId="32" fillId="46" borderId="0" xfId="110" applyNumberFormat="1" applyFont="1" applyFill="1">
      <alignment/>
      <protection/>
    </xf>
    <xf numFmtId="0" fontId="32" fillId="46" borderId="0" xfId="110" applyFont="1" applyFill="1">
      <alignment/>
      <protection/>
    </xf>
    <xf numFmtId="0" fontId="9" fillId="0" borderId="21" xfId="110" applyBorder="1">
      <alignment/>
      <protection/>
    </xf>
    <xf numFmtId="0" fontId="32" fillId="46" borderId="0" xfId="110" applyFont="1" applyFill="1" quotePrefix="1">
      <alignment/>
      <protection/>
    </xf>
    <xf numFmtId="171" fontId="9" fillId="0" borderId="0" xfId="110" applyNumberFormat="1">
      <alignment/>
      <protection/>
    </xf>
    <xf numFmtId="171" fontId="32" fillId="46" borderId="0" xfId="110" applyNumberFormat="1" applyFont="1" applyFill="1">
      <alignment/>
      <protection/>
    </xf>
    <xf numFmtId="0" fontId="9" fillId="0" borderId="0" xfId="110" applyFont="1" quotePrefix="1">
      <alignment/>
      <protection/>
    </xf>
    <xf numFmtId="0" fontId="35" fillId="0" borderId="22" xfId="0" applyFont="1" applyFill="1" applyBorder="1" applyAlignment="1">
      <alignment horizontal="left" indent="2"/>
    </xf>
    <xf numFmtId="165" fontId="35" fillId="0" borderId="22" xfId="69" applyNumberFormat="1" applyFont="1" applyFill="1" applyBorder="1" applyAlignment="1">
      <alignment/>
    </xf>
    <xf numFmtId="0" fontId="35" fillId="0" borderId="23" xfId="0" applyFont="1" applyFill="1" applyBorder="1" applyAlignment="1">
      <alignment horizontal="left" indent="2"/>
    </xf>
    <xf numFmtId="165" fontId="35" fillId="0" borderId="23" xfId="69" applyNumberFormat="1" applyFont="1" applyFill="1" applyBorder="1" applyAlignment="1">
      <alignment/>
    </xf>
    <xf numFmtId="165" fontId="5" fillId="0" borderId="23" xfId="69" applyNumberFormat="1" applyFont="1" applyFill="1" applyBorder="1" applyAlignment="1">
      <alignment/>
    </xf>
    <xf numFmtId="165" fontId="5" fillId="0" borderId="22" xfId="69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" fontId="5" fillId="0" borderId="0" xfId="69" applyNumberFormat="1" applyFont="1" applyFill="1" applyAlignment="1">
      <alignment/>
    </xf>
    <xf numFmtId="171" fontId="9" fillId="0" borderId="0" xfId="110" applyNumberFormat="1" applyFill="1">
      <alignment/>
      <protection/>
    </xf>
    <xf numFmtId="6" fontId="9" fillId="0" borderId="0" xfId="110" applyNumberFormat="1" applyFill="1">
      <alignment/>
      <protection/>
    </xf>
    <xf numFmtId="6" fontId="9" fillId="0" borderId="21" xfId="110" applyNumberFormat="1" applyFill="1" applyBorder="1">
      <alignment/>
      <protection/>
    </xf>
    <xf numFmtId="6" fontId="32" fillId="0" borderId="0" xfId="110" applyNumberFormat="1" applyFont="1" applyFill="1">
      <alignment/>
      <protection/>
    </xf>
    <xf numFmtId="165" fontId="6" fillId="0" borderId="0" xfId="69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0" fontId="39" fillId="0" borderId="0" xfId="0" applyNumberFormat="1" applyFont="1" applyFill="1" applyBorder="1" applyAlignment="1">
      <alignment wrapText="1"/>
    </xf>
    <xf numFmtId="171" fontId="9" fillId="0" borderId="21" xfId="110" applyNumberFormat="1" applyFill="1" applyBorder="1">
      <alignment/>
      <protection/>
    </xf>
    <xf numFmtId="0" fontId="6" fillId="0" borderId="0" xfId="0" applyFont="1" applyAlignment="1">
      <alignment horizontal="center"/>
    </xf>
    <xf numFmtId="0" fontId="41" fillId="0" borderId="0" xfId="0" applyFont="1" applyFill="1" applyBorder="1" applyAlignment="1">
      <alignment horizontal="right"/>
    </xf>
    <xf numFmtId="6" fontId="42" fillId="0" borderId="0" xfId="0" applyNumberFormat="1" applyFont="1" applyBorder="1" applyAlignment="1">
      <alignment/>
    </xf>
    <xf numFmtId="0" fontId="41" fillId="0" borderId="0" xfId="0" applyFont="1" applyAlignment="1">
      <alignment horizontal="right"/>
    </xf>
    <xf numFmtId="6" fontId="42" fillId="0" borderId="0" xfId="0" applyNumberFormat="1" applyFont="1" applyAlignment="1">
      <alignment/>
    </xf>
    <xf numFmtId="6" fontId="42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6" fontId="41" fillId="0" borderId="0" xfId="0" applyNumberFormat="1" applyFont="1" applyAlignment="1">
      <alignment/>
    </xf>
    <xf numFmtId="0" fontId="42" fillId="46" borderId="0" xfId="0" applyFont="1" applyFill="1" applyAlignment="1">
      <alignment/>
    </xf>
    <xf numFmtId="0" fontId="0" fillId="46" borderId="0" xfId="0" applyFill="1" applyAlignment="1">
      <alignment/>
    </xf>
    <xf numFmtId="6" fontId="42" fillId="46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6" fontId="42" fillId="0" borderId="0" xfId="0" applyNumberFormat="1" applyFont="1" applyFill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Alignment="1" quotePrefix="1">
      <alignment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6" fontId="42" fillId="0" borderId="0" xfId="0" applyNumberFormat="1" applyFont="1" applyAlignment="1">
      <alignment vertical="center"/>
    </xf>
    <xf numFmtId="0" fontId="41" fillId="46" borderId="0" xfId="0" applyFont="1" applyFill="1" applyAlignment="1">
      <alignment horizontal="right"/>
    </xf>
    <xf numFmtId="6" fontId="41" fillId="46" borderId="0" xfId="0" applyNumberFormat="1" applyFont="1" applyFill="1" applyAlignment="1">
      <alignment/>
    </xf>
    <xf numFmtId="8" fontId="0" fillId="46" borderId="0" xfId="0" applyNumberFormat="1" applyFill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33" fillId="0" borderId="0" xfId="110" applyFont="1" applyAlignment="1">
      <alignment horizontal="center"/>
      <protection/>
    </xf>
    <xf numFmtId="0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left" vertical="center" wrapText="1"/>
    </xf>
    <xf numFmtId="0" fontId="6" fillId="0" borderId="0" xfId="0" applyFont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Currency 2" xfId="77"/>
    <cellStyle name="Currency 3" xfId="78"/>
    <cellStyle name="Currency 4" xfId="79"/>
    <cellStyle name="Currency 5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Input" xfId="95"/>
    <cellStyle name="Input 2" xfId="96"/>
    <cellStyle name="Linked Cell" xfId="97"/>
    <cellStyle name="Linked Cell 2" xfId="98"/>
    <cellStyle name="Neutral" xfId="99"/>
    <cellStyle name="Neutral 2" xfId="100"/>
    <cellStyle name="Normal 2" xfId="101"/>
    <cellStyle name="Normal 2 2" xfId="102"/>
    <cellStyle name="Normal 2 2 2" xfId="103"/>
    <cellStyle name="Normal 2_BUDGET SUMMARY_FY2014" xfId="104"/>
    <cellStyle name="Normal 3" xfId="105"/>
    <cellStyle name="Normal 4" xfId="106"/>
    <cellStyle name="Normal 5" xfId="107"/>
    <cellStyle name="Normal 6" xfId="108"/>
    <cellStyle name="Normal 7" xfId="109"/>
    <cellStyle name="Normal_FY15 BUDGET Updated 05-01-14" xfId="110"/>
    <cellStyle name="Note" xfId="111"/>
    <cellStyle name="Note 2" xfId="112"/>
    <cellStyle name="Output" xfId="113"/>
    <cellStyle name="Output 2" xfId="114"/>
    <cellStyle name="Percent" xfId="115"/>
    <cellStyle name="Percent 2" xfId="116"/>
    <cellStyle name="Title" xfId="117"/>
    <cellStyle name="Total" xfId="118"/>
    <cellStyle name="Total 2" xfId="119"/>
    <cellStyle name="Warning Text" xfId="120"/>
    <cellStyle name="Warning Text 2" xfId="121"/>
  </cellStyles>
  <dxfs count="2">
    <dxf>
      <font>
        <strike val="0"/>
        <color auto="1"/>
      </font>
    </dxf>
    <dxf>
      <font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1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64.140625" style="2" customWidth="1"/>
    <col min="2" max="2" width="20.7109375" style="1" customWidth="1"/>
    <col min="3" max="3" width="5.28125" style="1" customWidth="1"/>
    <col min="4" max="4" width="20.7109375" style="1" customWidth="1"/>
    <col min="5" max="5" width="5.28125" style="1" customWidth="1"/>
    <col min="6" max="6" width="22.8515625" style="1" customWidth="1"/>
    <col min="7" max="7" width="4.8515625" style="1" customWidth="1"/>
    <col min="8" max="8" width="20.7109375" style="1" customWidth="1"/>
    <col min="9" max="9" width="6.57421875" style="1" customWidth="1"/>
    <col min="10" max="10" width="17.57421875" style="1" customWidth="1"/>
    <col min="11" max="11" width="12.00390625" style="1" customWidth="1"/>
    <col min="12" max="12" width="14.57421875" style="1" customWidth="1"/>
    <col min="13" max="13" width="13.28125" style="1" customWidth="1"/>
    <col min="14" max="23" width="9.140625" style="1" customWidth="1"/>
    <col min="24" max="16384" width="9.140625" style="2" customWidth="1"/>
  </cols>
  <sheetData>
    <row r="1" spans="1:8" ht="27" customHeight="1">
      <c r="A1" s="87" t="s">
        <v>86</v>
      </c>
      <c r="B1" s="87"/>
      <c r="C1" s="87"/>
      <c r="D1" s="87"/>
      <c r="E1" s="87"/>
      <c r="F1" s="87"/>
      <c r="G1" s="87"/>
      <c r="H1" s="87"/>
    </row>
    <row r="2" spans="1:8" ht="27" customHeight="1">
      <c r="A2" s="87" t="s">
        <v>79</v>
      </c>
      <c r="B2" s="87"/>
      <c r="C2" s="87"/>
      <c r="D2" s="87"/>
      <c r="E2" s="87"/>
      <c r="F2" s="87"/>
      <c r="G2" s="87"/>
      <c r="H2" s="87"/>
    </row>
    <row r="3" spans="1:8" ht="27" customHeight="1">
      <c r="A3" s="88" t="s">
        <v>104</v>
      </c>
      <c r="B3" s="88"/>
      <c r="C3" s="88"/>
      <c r="D3" s="88"/>
      <c r="E3" s="88"/>
      <c r="F3" s="88"/>
      <c r="G3" s="88"/>
      <c r="H3" s="88"/>
    </row>
    <row r="4" spans="12:13" ht="20.25">
      <c r="L4" s="1" t="s">
        <v>93</v>
      </c>
      <c r="M4" s="1" t="s">
        <v>94</v>
      </c>
    </row>
    <row r="5" spans="2:23" s="3" customFormat="1" ht="63" customHeight="1">
      <c r="B5" s="33" t="s">
        <v>77</v>
      </c>
      <c r="C5" s="32"/>
      <c r="D5" s="33" t="s">
        <v>37</v>
      </c>
      <c r="E5" s="32"/>
      <c r="F5" s="33" t="s">
        <v>78</v>
      </c>
      <c r="G5" s="32"/>
      <c r="H5" s="33" t="s">
        <v>72</v>
      </c>
      <c r="I5" s="4"/>
      <c r="J5" s="4"/>
      <c r="K5" s="4"/>
      <c r="L5" s="31">
        <f>274/365</f>
        <v>0.7506849315068493</v>
      </c>
      <c r="M5" s="54">
        <f>215/215</f>
        <v>1</v>
      </c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s="3" customFormat="1" ht="20.25">
      <c r="B6" s="6"/>
      <c r="C6" s="6"/>
      <c r="D6" s="6"/>
      <c r="E6" s="6"/>
      <c r="F6" s="6"/>
      <c r="G6" s="6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24">
      <c r="A7" s="17" t="s">
        <v>27</v>
      </c>
      <c r="B7" s="13">
        <v>1348362</v>
      </c>
      <c r="C7" s="13"/>
      <c r="D7" s="13">
        <v>1459964</v>
      </c>
      <c r="E7" s="13"/>
      <c r="F7" s="13">
        <f>D7</f>
        <v>1459964</v>
      </c>
      <c r="G7" s="13"/>
      <c r="H7" s="1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3" customFormat="1" ht="20.25">
      <c r="A8" s="7"/>
      <c r="B8" s="8"/>
      <c r="C8" s="8"/>
      <c r="D8" s="8"/>
      <c r="E8" s="8"/>
      <c r="F8" s="8"/>
      <c r="G8" s="8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3" customFormat="1" ht="20.25">
      <c r="A9" s="17" t="s">
        <v>81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3" customFormat="1" ht="12" customHeight="1">
      <c r="A10" s="17"/>
      <c r="B10" s="8"/>
      <c r="C10" s="8"/>
      <c r="D10" s="8"/>
      <c r="E10" s="8"/>
      <c r="F10" s="8"/>
      <c r="G10" s="8"/>
      <c r="H10" s="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25">
      <c r="A11" s="29" t="s">
        <v>22</v>
      </c>
      <c r="B11" s="8"/>
      <c r="C11" s="8"/>
      <c r="D11" s="8"/>
      <c r="E11" s="8"/>
      <c r="F11" s="8"/>
      <c r="G11" s="8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3" customFormat="1" ht="20.25">
      <c r="A12" s="10" t="s">
        <v>85</v>
      </c>
      <c r="B12" s="8">
        <v>3944514</v>
      </c>
      <c r="C12" s="8"/>
      <c r="D12" s="8">
        <v>2958387</v>
      </c>
      <c r="E12" s="8"/>
      <c r="F12" s="8">
        <f>B12</f>
        <v>3944514</v>
      </c>
      <c r="G12" s="8"/>
      <c r="H12" s="8">
        <f>F12-D12</f>
        <v>986127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3" customFormat="1" ht="20.25">
      <c r="A13" s="10"/>
      <c r="B13" s="8"/>
      <c r="C13" s="8"/>
      <c r="D13" s="8"/>
      <c r="E13" s="8"/>
      <c r="F13" s="8"/>
      <c r="G13" s="8"/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3" customFormat="1" ht="20.25">
      <c r="A14" s="10" t="s">
        <v>84</v>
      </c>
      <c r="B14" s="8"/>
      <c r="C14" s="8"/>
      <c r="D14" s="8"/>
      <c r="E14" s="8"/>
      <c r="F14" s="8"/>
      <c r="G14" s="8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20.25" hidden="1">
      <c r="A15" s="30" t="s">
        <v>14</v>
      </c>
      <c r="B15" s="24">
        <v>0</v>
      </c>
      <c r="C15" s="24"/>
      <c r="D15" s="24">
        <v>0</v>
      </c>
      <c r="E15" s="24"/>
      <c r="F15" s="24">
        <v>0</v>
      </c>
      <c r="G15" s="24"/>
      <c r="H15" s="2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3" customFormat="1" ht="20.25" hidden="1">
      <c r="A16" s="30" t="s">
        <v>34</v>
      </c>
      <c r="B16" s="24">
        <v>0</v>
      </c>
      <c r="C16" s="24"/>
      <c r="D16" s="24">
        <v>0</v>
      </c>
      <c r="E16" s="24"/>
      <c r="F16" s="24">
        <v>0</v>
      </c>
      <c r="G16" s="24"/>
      <c r="H16" s="2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3" customFormat="1" ht="20.25">
      <c r="A17" s="30" t="s">
        <v>11</v>
      </c>
      <c r="B17" s="24">
        <v>100000</v>
      </c>
      <c r="C17" s="24"/>
      <c r="D17" s="24">
        <v>0</v>
      </c>
      <c r="E17" s="24"/>
      <c r="F17" s="24">
        <v>100000</v>
      </c>
      <c r="G17" s="24"/>
      <c r="H17" s="24">
        <f>F17-D17</f>
        <v>100000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3" customFormat="1" ht="20.25" hidden="1">
      <c r="A18" s="30" t="s">
        <v>10</v>
      </c>
      <c r="B18" s="24">
        <v>0</v>
      </c>
      <c r="C18" s="24"/>
      <c r="D18" s="24">
        <v>0</v>
      </c>
      <c r="E18" s="24"/>
      <c r="F18" s="24">
        <v>0</v>
      </c>
      <c r="G18" s="24"/>
      <c r="H18" s="24">
        <v>0</v>
      </c>
      <c r="I18" s="4"/>
      <c r="J18" s="4"/>
      <c r="K18" s="4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3" customFormat="1" ht="20.25">
      <c r="A19" s="14" t="s">
        <v>19</v>
      </c>
      <c r="B19" s="13">
        <f>SUM(B12:B18)</f>
        <v>4044514</v>
      </c>
      <c r="C19" s="13"/>
      <c r="D19" s="13">
        <f>SUM(D12:D18)</f>
        <v>2958387</v>
      </c>
      <c r="E19" s="13"/>
      <c r="F19" s="13">
        <f>SUM(F12:F18)</f>
        <v>4044514</v>
      </c>
      <c r="G19" s="13"/>
      <c r="H19" s="13">
        <f>SUM(H12:H18)</f>
        <v>1086127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3" customFormat="1" ht="20.25">
      <c r="A20" s="10"/>
      <c r="B20" s="8"/>
      <c r="C20" s="8"/>
      <c r="D20" s="8"/>
      <c r="E20" s="8"/>
      <c r="F20" s="8"/>
      <c r="G20" s="8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3" customFormat="1" ht="20.25">
      <c r="A21" s="29" t="s">
        <v>87</v>
      </c>
      <c r="B21" s="8"/>
      <c r="C21" s="8"/>
      <c r="D21" s="8"/>
      <c r="E21" s="8"/>
      <c r="F21" s="8"/>
      <c r="G21" s="8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3" customFormat="1" ht="24">
      <c r="A22" s="11" t="s">
        <v>28</v>
      </c>
      <c r="B22" s="8">
        <v>741609</v>
      </c>
      <c r="C22" s="8"/>
      <c r="D22" s="8">
        <f>'Other Revenue(Details)'!B25</f>
        <v>501193.47000000003</v>
      </c>
      <c r="E22" s="8"/>
      <c r="F22" s="8">
        <f>(D22-30073.21)/$L$5+30073.21</f>
        <v>657660.4176642335</v>
      </c>
      <c r="G22" s="8"/>
      <c r="H22" s="8">
        <f>F22-D22</f>
        <v>156466.94766423345</v>
      </c>
      <c r="I22" s="4"/>
      <c r="J22" s="4" t="s">
        <v>36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3" customFormat="1" ht="24">
      <c r="A23" s="11" t="s">
        <v>29</v>
      </c>
      <c r="B23" s="8">
        <v>808411</v>
      </c>
      <c r="C23" s="8"/>
      <c r="D23" s="8">
        <f>'Other Revenue(Details)'!B41</f>
        <v>580889.86</v>
      </c>
      <c r="E23" s="8"/>
      <c r="F23" s="8">
        <f>D23/$L$5</f>
        <v>773813.1346715328</v>
      </c>
      <c r="G23" s="8"/>
      <c r="H23" s="8">
        <f>F23-D23</f>
        <v>192923.2746715328</v>
      </c>
      <c r="I23" s="4"/>
      <c r="J23" s="4" t="s">
        <v>95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3" customFormat="1" ht="20.25">
      <c r="A24" s="11" t="s">
        <v>8</v>
      </c>
      <c r="B24" s="8">
        <v>75000</v>
      </c>
      <c r="C24" s="8"/>
      <c r="D24" s="8">
        <f>'Other Revenue(Details)'!B55</f>
        <v>633352.52</v>
      </c>
      <c r="E24" s="8"/>
      <c r="F24" s="8">
        <f>(D24-470225-26572)/$L$5+470225+26572</f>
        <v>678704.900729927</v>
      </c>
      <c r="G24" s="8"/>
      <c r="H24" s="8">
        <f>F24-D24</f>
        <v>45352.38072992698</v>
      </c>
      <c r="I24" s="4"/>
      <c r="J24" s="4" t="s">
        <v>76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3" customFormat="1" ht="20.25">
      <c r="A25" s="14" t="s">
        <v>18</v>
      </c>
      <c r="B25" s="13">
        <f>SUM(B22:B24)</f>
        <v>1625020</v>
      </c>
      <c r="C25" s="13"/>
      <c r="D25" s="13">
        <f>SUM(D22:D24)</f>
        <v>1715435.85</v>
      </c>
      <c r="E25" s="13"/>
      <c r="F25" s="13">
        <f>SUM(F22:F24)</f>
        <v>2110178.4530656934</v>
      </c>
      <c r="G25" s="13"/>
      <c r="H25" s="13">
        <f>SUM(H22:H24)</f>
        <v>394742.6030656932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3" customFormat="1" ht="20.25">
      <c r="A26" s="11"/>
      <c r="B26" s="8"/>
      <c r="C26" s="8"/>
      <c r="D26" s="8"/>
      <c r="E26" s="8"/>
      <c r="F26" s="8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3" customFormat="1" ht="20.25">
      <c r="A27" s="17" t="s">
        <v>82</v>
      </c>
      <c r="B27" s="13">
        <f>B19+B25</f>
        <v>5669534</v>
      </c>
      <c r="C27" s="13"/>
      <c r="D27" s="13">
        <f>D19+D25</f>
        <v>4673822.85</v>
      </c>
      <c r="E27" s="13"/>
      <c r="F27" s="13">
        <f>F19+F25</f>
        <v>6154692.453065693</v>
      </c>
      <c r="G27" s="13"/>
      <c r="H27" s="13">
        <f>H19+H25</f>
        <v>1480869.6030656933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3" customFormat="1" ht="20.25">
      <c r="A28" s="17"/>
      <c r="B28" s="13"/>
      <c r="C28" s="13"/>
      <c r="D28" s="13"/>
      <c r="E28" s="13"/>
      <c r="F28" s="13"/>
      <c r="G28" s="13"/>
      <c r="H28" s="1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3" customFormat="1" ht="20.25">
      <c r="A29" s="27" t="s">
        <v>80</v>
      </c>
      <c r="B29" s="25">
        <f>B7+B27</f>
        <v>7017896</v>
      </c>
      <c r="C29" s="25"/>
      <c r="D29" s="25">
        <f>D7+D27</f>
        <v>6133786.85</v>
      </c>
      <c r="E29" s="25"/>
      <c r="F29" s="25">
        <f>F7+F27</f>
        <v>7614656.453065693</v>
      </c>
      <c r="G29" s="25"/>
      <c r="H29" s="25">
        <f>H7+H27</f>
        <v>1480869.6030656933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3" customFormat="1" ht="15" customHeight="1">
      <c r="A30" s="16"/>
      <c r="B30" s="13"/>
      <c r="C30" s="13"/>
      <c r="D30" s="13"/>
      <c r="E30" s="13"/>
      <c r="F30" s="13"/>
      <c r="G30" s="13"/>
      <c r="H30" s="1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3" customFormat="1" ht="20.25">
      <c r="A31" s="16" t="s">
        <v>20</v>
      </c>
      <c r="B31" s="8"/>
      <c r="C31" s="8"/>
      <c r="D31" s="8"/>
      <c r="E31" s="8"/>
      <c r="F31" s="8"/>
      <c r="G31" s="8"/>
      <c r="H31" s="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3" customFormat="1" ht="15" customHeight="1">
      <c r="A32" s="16"/>
      <c r="B32" s="8"/>
      <c r="C32" s="8"/>
      <c r="D32" s="8"/>
      <c r="E32" s="8"/>
      <c r="F32" s="8"/>
      <c r="G32" s="8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3" customFormat="1" ht="20.25">
      <c r="A33" s="11" t="s">
        <v>9</v>
      </c>
      <c r="B33" s="8">
        <f>B34+B35</f>
        <v>3773928</v>
      </c>
      <c r="C33" s="8"/>
      <c r="D33" s="8">
        <f>D34+D35</f>
        <v>2638626.08</v>
      </c>
      <c r="E33" s="8"/>
      <c r="F33" s="8">
        <f>F34+F35</f>
        <v>3544933.9958759127</v>
      </c>
      <c r="G33" s="8"/>
      <c r="H33" s="8">
        <f>F33-D33</f>
        <v>906307.9158759126</v>
      </c>
      <c r="I33" s="4"/>
      <c r="J33" s="4" t="s">
        <v>33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3" customFormat="1" ht="20.25">
      <c r="A34" s="47" t="s">
        <v>129</v>
      </c>
      <c r="B34" s="48">
        <v>2658886</v>
      </c>
      <c r="C34" s="48"/>
      <c r="D34" s="48">
        <v>1819608.62</v>
      </c>
      <c r="E34" s="48"/>
      <c r="F34" s="48">
        <f>(D34-1500+16482.37)/$L$5+1500+25000-16482.37</f>
        <v>2453907.087481752</v>
      </c>
      <c r="G34" s="48"/>
      <c r="H34" s="52">
        <f>F34-D34</f>
        <v>634298.4674817519</v>
      </c>
      <c r="I34" s="4"/>
      <c r="J34" s="4" t="s">
        <v>39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20.25">
      <c r="A35" s="49" t="s">
        <v>130</v>
      </c>
      <c r="B35" s="50">
        <v>1115042</v>
      </c>
      <c r="C35" s="50"/>
      <c r="D35" s="50">
        <v>819017.46</v>
      </c>
      <c r="E35" s="50"/>
      <c r="F35" s="50">
        <f>D35/$L$5</f>
        <v>1091026.9083941604</v>
      </c>
      <c r="G35" s="50"/>
      <c r="H35" s="51">
        <f>F35-D35</f>
        <v>272009.4483941605</v>
      </c>
      <c r="I35" s="4"/>
      <c r="J35" s="4" t="s">
        <v>96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3" customFormat="1" ht="20.25">
      <c r="A36" s="11" t="s">
        <v>7</v>
      </c>
      <c r="B36" s="8">
        <v>2148062</v>
      </c>
      <c r="C36" s="8"/>
      <c r="D36" s="8">
        <v>1255666</v>
      </c>
      <c r="E36" s="8"/>
      <c r="F36" s="8">
        <f>(D36-15400-4051-20000)/$L$5+15400+4051+20000+105000</f>
        <v>1764591.4197080291</v>
      </c>
      <c r="G36" s="8"/>
      <c r="H36" s="8">
        <f>F36-D36</f>
        <v>508925.41970802913</v>
      </c>
      <c r="I36" s="4"/>
      <c r="J36" s="4" t="s">
        <v>40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3" customFormat="1" ht="20.25">
      <c r="A37" s="11" t="s">
        <v>83</v>
      </c>
      <c r="B37" s="8">
        <v>75874</v>
      </c>
      <c r="C37" s="8"/>
      <c r="D37" s="8">
        <v>33741</v>
      </c>
      <c r="E37" s="8"/>
      <c r="F37" s="8">
        <f>(D37/$L$5)</f>
        <v>44946.95255474452</v>
      </c>
      <c r="G37" s="8"/>
      <c r="H37" s="8">
        <f>F37-D37</f>
        <v>11205.952554744523</v>
      </c>
      <c r="I37" s="4"/>
      <c r="J37" s="4" t="s">
        <v>98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3" customFormat="1" ht="14.25" customHeight="1">
      <c r="A38" s="11"/>
      <c r="B38" s="8"/>
      <c r="C38" s="8"/>
      <c r="D38" s="8"/>
      <c r="E38" s="8"/>
      <c r="F38" s="8"/>
      <c r="G38" s="8"/>
      <c r="H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20.25">
      <c r="A39" s="10" t="s">
        <v>84</v>
      </c>
      <c r="B39" s="8"/>
      <c r="C39" s="8"/>
      <c r="D39" s="8"/>
      <c r="E39" s="8"/>
      <c r="F39" s="8"/>
      <c r="G39" s="8"/>
      <c r="H39" s="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3" customFormat="1" ht="20.25" hidden="1">
      <c r="A40" s="30" t="s">
        <v>14</v>
      </c>
      <c r="B40" s="24">
        <v>0</v>
      </c>
      <c r="C40" s="24"/>
      <c r="D40" s="24">
        <v>0</v>
      </c>
      <c r="E40" s="24"/>
      <c r="F40" s="24">
        <v>0</v>
      </c>
      <c r="G40" s="24"/>
      <c r="H40" s="8">
        <f>B40-D40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3" customFormat="1" ht="20.25" hidden="1">
      <c r="A41" s="30" t="s">
        <v>34</v>
      </c>
      <c r="B41" s="24">
        <v>0</v>
      </c>
      <c r="C41" s="24"/>
      <c r="D41" s="24">
        <v>0</v>
      </c>
      <c r="E41" s="24"/>
      <c r="F41" s="24">
        <v>0</v>
      </c>
      <c r="G41" s="24"/>
      <c r="H41" s="8">
        <f>B41-D41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3" customFormat="1" ht="20.25">
      <c r="A42" s="30" t="s">
        <v>11</v>
      </c>
      <c r="B42" s="24">
        <v>100000</v>
      </c>
      <c r="C42" s="24"/>
      <c r="D42" s="24">
        <v>50000</v>
      </c>
      <c r="E42" s="24"/>
      <c r="F42" s="24">
        <v>100000</v>
      </c>
      <c r="G42" s="24"/>
      <c r="H42" s="8">
        <f>B42-D42</f>
        <v>50000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20.25">
      <c r="A43" s="30" t="s">
        <v>10</v>
      </c>
      <c r="B43" s="24">
        <v>0</v>
      </c>
      <c r="C43" s="24"/>
      <c r="D43" s="24">
        <v>0</v>
      </c>
      <c r="E43" s="24"/>
      <c r="F43" s="24">
        <f>D43</f>
        <v>0</v>
      </c>
      <c r="G43" s="24"/>
      <c r="H43" s="8">
        <f>B43-D43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3" customFormat="1" ht="13.5" customHeight="1">
      <c r="A44" s="30"/>
      <c r="B44" s="24"/>
      <c r="C44" s="24"/>
      <c r="D44" s="24"/>
      <c r="E44" s="24"/>
      <c r="F44" s="24"/>
      <c r="G44" s="24"/>
      <c r="H44" s="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3" customFormat="1" ht="24">
      <c r="A45" s="53" t="s">
        <v>88</v>
      </c>
      <c r="B45" s="24">
        <v>400000</v>
      </c>
      <c r="C45" s="24"/>
      <c r="D45" s="24"/>
      <c r="E45" s="24"/>
      <c r="F45" s="24">
        <v>400000</v>
      </c>
      <c r="G45" s="24"/>
      <c r="H45" s="8">
        <f>F45-D45</f>
        <v>400000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3" customFormat="1" ht="20.25">
      <c r="A46" s="53" t="s">
        <v>89</v>
      </c>
      <c r="B46" s="24">
        <v>250000</v>
      </c>
      <c r="C46" s="24"/>
      <c r="D46" s="24"/>
      <c r="E46" s="24"/>
      <c r="F46" s="24">
        <v>250000</v>
      </c>
      <c r="G46" s="24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2.75" customHeight="1">
      <c r="A47" s="11"/>
      <c r="B47" s="8"/>
      <c r="C47" s="8"/>
      <c r="D47" s="8"/>
      <c r="E47" s="8"/>
      <c r="F47" s="8"/>
      <c r="G47" s="8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3" customFormat="1" ht="20.25">
      <c r="A48" s="27" t="s">
        <v>21</v>
      </c>
      <c r="B48" s="25">
        <f>SUM(B36:B46)+B33</f>
        <v>6747864</v>
      </c>
      <c r="C48" s="25"/>
      <c r="D48" s="25">
        <f>SUM(D36:D46)+D33</f>
        <v>3978033.08</v>
      </c>
      <c r="E48" s="25"/>
      <c r="F48" s="25">
        <f>SUM(F36:F46)+F33</f>
        <v>6104472.368138686</v>
      </c>
      <c r="G48" s="25"/>
      <c r="H48" s="25">
        <f>SUM(H36:H46)+H33</f>
        <v>1876439.2881386862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3" customFormat="1" ht="12.75" customHeight="1">
      <c r="A49" s="16"/>
      <c r="B49" s="8"/>
      <c r="C49" s="8"/>
      <c r="D49" s="8"/>
      <c r="E49" s="8"/>
      <c r="F49" s="8"/>
      <c r="G49" s="8"/>
      <c r="H49" s="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3" customFormat="1" ht="21" thickBot="1">
      <c r="A50" s="23" t="s">
        <v>24</v>
      </c>
      <c r="B50" s="28">
        <f>B27-B48</f>
        <v>-1078330</v>
      </c>
      <c r="C50" s="28"/>
      <c r="D50" s="28">
        <f>D27-D48</f>
        <v>695789.7699999996</v>
      </c>
      <c r="E50" s="28"/>
      <c r="F50" s="28">
        <f>F27-F48</f>
        <v>50220.084927007556</v>
      </c>
      <c r="G50" s="28"/>
      <c r="H50" s="2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3" customFormat="1" ht="21" thickTop="1">
      <c r="A51" s="16"/>
      <c r="B51" s="8"/>
      <c r="C51" s="8"/>
      <c r="D51" s="8"/>
      <c r="E51" s="8"/>
      <c r="F51" s="8"/>
      <c r="G51" s="8"/>
      <c r="H51" s="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3" customFormat="1" ht="24">
      <c r="A52" s="17" t="s">
        <v>31</v>
      </c>
      <c r="B52" s="13">
        <f>B7+B50</f>
        <v>270032</v>
      </c>
      <c r="C52" s="13"/>
      <c r="D52" s="13">
        <f>D7+D50</f>
        <v>2155753.7699999996</v>
      </c>
      <c r="E52" s="13"/>
      <c r="F52" s="13">
        <f>F7+F50</f>
        <v>1510184.0849270076</v>
      </c>
      <c r="G52" s="13"/>
      <c r="H52" s="1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3" customFormat="1" ht="13.5" customHeight="1">
      <c r="A53" s="16"/>
      <c r="B53" s="8"/>
      <c r="C53" s="8"/>
      <c r="D53" s="8"/>
      <c r="E53" s="8"/>
      <c r="F53" s="8"/>
      <c r="G53" s="8"/>
      <c r="H53" s="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3" customFormat="1" ht="10.5" customHeight="1">
      <c r="A54" s="18"/>
      <c r="B54" s="19"/>
      <c r="C54" s="19"/>
      <c r="D54" s="19"/>
      <c r="E54" s="19"/>
      <c r="F54" s="19"/>
      <c r="G54" s="19"/>
      <c r="H54" s="1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s="3" customFormat="1" ht="13.5" customHeight="1">
      <c r="B55" s="8"/>
      <c r="C55" s="8"/>
      <c r="D55" s="8"/>
      <c r="E55" s="8"/>
      <c r="F55" s="8"/>
      <c r="G55" s="8"/>
      <c r="H55" s="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3" customFormat="1" ht="20.25">
      <c r="A56" s="16" t="s">
        <v>23</v>
      </c>
      <c r="B56" s="13"/>
      <c r="C56" s="13"/>
      <c r="D56" s="13"/>
      <c r="E56" s="13"/>
      <c r="F56" s="13"/>
      <c r="G56" s="13"/>
      <c r="H56" s="1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3" customFormat="1" ht="20.25">
      <c r="A57" s="22" t="s">
        <v>17</v>
      </c>
      <c r="B57" s="13"/>
      <c r="C57" s="13"/>
      <c r="D57" s="13"/>
      <c r="E57" s="13"/>
      <c r="F57" s="13"/>
      <c r="G57" s="13"/>
      <c r="H57" s="1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3" customFormat="1" ht="20.25">
      <c r="A58" s="11" t="s">
        <v>3</v>
      </c>
      <c r="B58" s="4">
        <v>1150000</v>
      </c>
      <c r="C58" s="4"/>
      <c r="D58" s="4">
        <v>1391340.96</v>
      </c>
      <c r="E58" s="4"/>
      <c r="F58" s="4">
        <f aca="true" t="shared" si="0" ref="F58:F64">B58</f>
        <v>1150000</v>
      </c>
      <c r="G58" s="4"/>
      <c r="H58" s="4">
        <f aca="true" t="shared" si="1" ref="H58:H65">F58-D58</f>
        <v>-241340.95999999996</v>
      </c>
      <c r="I58" s="4"/>
      <c r="J58" s="4" t="s">
        <v>68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3" customFormat="1" ht="20.25">
      <c r="A59" s="11" t="s">
        <v>16</v>
      </c>
      <c r="B59" s="4">
        <v>500000</v>
      </c>
      <c r="C59" s="4"/>
      <c r="D59" s="4">
        <v>249347.54</v>
      </c>
      <c r="E59" s="4"/>
      <c r="F59" s="4">
        <f t="shared" si="0"/>
        <v>500000</v>
      </c>
      <c r="G59" s="4"/>
      <c r="H59" s="4">
        <f t="shared" si="1"/>
        <v>250652.46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3" customFormat="1" ht="20.25">
      <c r="A60" s="11" t="s">
        <v>2</v>
      </c>
      <c r="B60" s="4">
        <v>2400000</v>
      </c>
      <c r="C60" s="4"/>
      <c r="D60" s="4">
        <f>884559.6-2403</f>
        <v>882156.6</v>
      </c>
      <c r="E60" s="4"/>
      <c r="F60" s="4">
        <f t="shared" si="0"/>
        <v>2400000</v>
      </c>
      <c r="G60" s="4"/>
      <c r="H60" s="4">
        <f t="shared" si="1"/>
        <v>1517843.4</v>
      </c>
      <c r="I60" s="4"/>
      <c r="J60" s="4" t="s">
        <v>69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3" customFormat="1" ht="20.25">
      <c r="A61" s="10" t="s">
        <v>0</v>
      </c>
      <c r="B61" s="8">
        <v>723550</v>
      </c>
      <c r="C61" s="8"/>
      <c r="D61" s="8">
        <v>620459</v>
      </c>
      <c r="E61" s="4"/>
      <c r="F61" s="4">
        <f t="shared" si="0"/>
        <v>723550</v>
      </c>
      <c r="G61" s="8"/>
      <c r="H61" s="4">
        <f t="shared" si="1"/>
        <v>103091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3" customFormat="1" ht="20.25">
      <c r="A62" s="10" t="s">
        <v>1</v>
      </c>
      <c r="B62" s="8">
        <v>1025000</v>
      </c>
      <c r="C62" s="8"/>
      <c r="D62" s="8">
        <v>0</v>
      </c>
      <c r="E62" s="4"/>
      <c r="F62" s="4">
        <f t="shared" si="0"/>
        <v>1025000</v>
      </c>
      <c r="G62" s="8"/>
      <c r="H62" s="4">
        <f t="shared" si="1"/>
        <v>1025000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3" customFormat="1" ht="20.25">
      <c r="A63" s="11" t="s">
        <v>4</v>
      </c>
      <c r="B63" s="4">
        <v>150000</v>
      </c>
      <c r="C63" s="4"/>
      <c r="D63" s="4">
        <v>0</v>
      </c>
      <c r="E63" s="4"/>
      <c r="F63" s="4">
        <f t="shared" si="0"/>
        <v>150000</v>
      </c>
      <c r="G63" s="4"/>
      <c r="H63" s="4">
        <f t="shared" si="1"/>
        <v>150000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3" customFormat="1" ht="20.25">
      <c r="A64" s="11" t="s">
        <v>35</v>
      </c>
      <c r="B64" s="4">
        <v>775000</v>
      </c>
      <c r="C64" s="4"/>
      <c r="D64" s="4">
        <v>36541.88</v>
      </c>
      <c r="E64" s="4"/>
      <c r="F64" s="4">
        <f t="shared" si="0"/>
        <v>775000</v>
      </c>
      <c r="G64" s="4"/>
      <c r="H64" s="4">
        <f t="shared" si="1"/>
        <v>738458.12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3" customFormat="1" ht="20.25">
      <c r="A65" s="11" t="s">
        <v>8</v>
      </c>
      <c r="B65" s="4">
        <v>0</v>
      </c>
      <c r="C65" s="4"/>
      <c r="D65" s="4">
        <f>44657.95+28623+63739.92</f>
        <v>137020.87</v>
      </c>
      <c r="E65" s="4"/>
      <c r="F65" s="4">
        <f>D65/$L$5</f>
        <v>182527.80127737226</v>
      </c>
      <c r="G65" s="4"/>
      <c r="H65" s="4">
        <f t="shared" si="1"/>
        <v>45506.93127737226</v>
      </c>
      <c r="I65" s="4"/>
      <c r="J65" s="4" t="s">
        <v>99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3" customFormat="1" ht="20.25">
      <c r="A66" s="12" t="s">
        <v>13</v>
      </c>
      <c r="B66" s="6">
        <f>SUM(B58:B65)</f>
        <v>6723550</v>
      </c>
      <c r="C66" s="6"/>
      <c r="D66" s="6">
        <f>SUM(D58:D65)-1</f>
        <v>3316865.85</v>
      </c>
      <c r="E66" s="6"/>
      <c r="F66" s="6">
        <f>SUM(F58:F65)</f>
        <v>6906077.801277372</v>
      </c>
      <c r="G66" s="6"/>
      <c r="H66" s="6">
        <f>SUM(H58:H65)</f>
        <v>3589210.9512773724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20.25">
      <c r="A67" s="21" t="s">
        <v>12</v>
      </c>
      <c r="B67" s="8"/>
      <c r="C67" s="8"/>
      <c r="D67" s="8"/>
      <c r="E67" s="8"/>
      <c r="F67" s="8"/>
      <c r="G67" s="8"/>
      <c r="H67" s="8"/>
      <c r="I67" s="4"/>
      <c r="J67" s="59" t="s">
        <v>102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3" customFormat="1" ht="20.25">
      <c r="A68" s="11" t="s">
        <v>25</v>
      </c>
      <c r="B68" s="8">
        <v>760771</v>
      </c>
      <c r="C68" s="8"/>
      <c r="D68" s="8">
        <v>0</v>
      </c>
      <c r="E68" s="8"/>
      <c r="F68" s="8">
        <f>B68</f>
        <v>760771</v>
      </c>
      <c r="G68" s="8"/>
      <c r="H68" s="8">
        <f aca="true" t="shared" si="2" ref="H68:H74">F68-D68</f>
        <v>760771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3" customFormat="1" ht="20.25">
      <c r="A69" s="11" t="s">
        <v>38</v>
      </c>
      <c r="B69" s="8">
        <v>50000</v>
      </c>
      <c r="C69" s="8"/>
      <c r="D69" s="8">
        <f>45723.21-3263.21</f>
        <v>42460</v>
      </c>
      <c r="E69" s="8"/>
      <c r="F69" s="4">
        <f>B69</f>
        <v>50000</v>
      </c>
      <c r="G69" s="8"/>
      <c r="H69" s="8">
        <f t="shared" si="2"/>
        <v>7540</v>
      </c>
      <c r="I69" s="4"/>
      <c r="J69" s="4" t="s">
        <v>100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3" customFormat="1" ht="20.25">
      <c r="A70" s="11" t="s">
        <v>101</v>
      </c>
      <c r="B70" s="8">
        <v>0</v>
      </c>
      <c r="C70" s="8"/>
      <c r="D70" s="8">
        <v>78422</v>
      </c>
      <c r="E70" s="8"/>
      <c r="F70" s="4">
        <v>1575000</v>
      </c>
      <c r="G70" s="8"/>
      <c r="H70" s="8">
        <f>F70-D70</f>
        <v>1496578</v>
      </c>
      <c r="I70" s="4"/>
      <c r="J70" s="4" t="s">
        <v>103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3" customFormat="1" ht="24">
      <c r="A71" s="11" t="s">
        <v>90</v>
      </c>
      <c r="B71" s="60">
        <f>890000-330000-65196-75874</f>
        <v>418930</v>
      </c>
      <c r="C71" s="8"/>
      <c r="D71" s="8">
        <f>293078.75*2-'Other Revenue(Details)'!B32-D37</f>
        <v>267078.88</v>
      </c>
      <c r="E71" s="8"/>
      <c r="F71" s="8">
        <f>890000-360440-65776-75874</f>
        <v>387910</v>
      </c>
      <c r="G71" s="8"/>
      <c r="H71" s="8">
        <f>F71-D71</f>
        <v>120831.12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3" customFormat="1" ht="20.25">
      <c r="A72" s="11" t="s">
        <v>5</v>
      </c>
      <c r="B72" s="8">
        <v>620449</v>
      </c>
      <c r="C72" s="8"/>
      <c r="D72" s="8">
        <v>587942.69</v>
      </c>
      <c r="E72" s="8"/>
      <c r="F72" s="8">
        <f>B72</f>
        <v>620449</v>
      </c>
      <c r="G72" s="8"/>
      <c r="H72" s="8">
        <f t="shared" si="2"/>
        <v>32506.310000000056</v>
      </c>
      <c r="I72" s="4"/>
      <c r="J72" s="4" t="s">
        <v>68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3" customFormat="1" ht="20.25" hidden="1">
      <c r="A73" s="11" t="s">
        <v>26</v>
      </c>
      <c r="B73" s="8">
        <v>0</v>
      </c>
      <c r="C73" s="8"/>
      <c r="D73" s="8"/>
      <c r="E73" s="8"/>
      <c r="F73" s="8">
        <f>D73/$L$5-B73</f>
        <v>0</v>
      </c>
      <c r="G73" s="8"/>
      <c r="H73" s="8">
        <f t="shared" si="2"/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3" customFormat="1" ht="20.25">
      <c r="A74" s="11" t="s">
        <v>6</v>
      </c>
      <c r="B74" s="8">
        <f>8772424/2</f>
        <v>4386212</v>
      </c>
      <c r="C74" s="8"/>
      <c r="D74" s="8">
        <v>41276.82</v>
      </c>
      <c r="E74" s="8"/>
      <c r="F74" s="8">
        <f>B74</f>
        <v>4386212</v>
      </c>
      <c r="G74" s="8"/>
      <c r="H74" s="8">
        <f t="shared" si="2"/>
        <v>4344935.18</v>
      </c>
      <c r="I74" s="1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3" customFormat="1" ht="20.25">
      <c r="A75" s="12" t="s">
        <v>13</v>
      </c>
      <c r="B75" s="13">
        <f>SUM(B68:B74)</f>
        <v>6236362</v>
      </c>
      <c r="C75" s="13"/>
      <c r="D75" s="13">
        <f>SUM(D68:D74)</f>
        <v>1017180.3899999999</v>
      </c>
      <c r="E75" s="13"/>
      <c r="F75" s="13">
        <f>SUM(F68:F74)</f>
        <v>7780342</v>
      </c>
      <c r="G75" s="13"/>
      <c r="H75" s="13">
        <f>SUM(H68:H74)</f>
        <v>6763161.609999999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3" customFormat="1" ht="19.5" customHeight="1">
      <c r="A76" s="12"/>
      <c r="B76" s="13"/>
      <c r="C76" s="13"/>
      <c r="D76" s="13"/>
      <c r="E76" s="13"/>
      <c r="F76" s="13"/>
      <c r="G76" s="13"/>
      <c r="H76" s="1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3" customFormat="1" ht="20.25">
      <c r="A77" s="20" t="s">
        <v>15</v>
      </c>
      <c r="B77" s="8"/>
      <c r="C77" s="8"/>
      <c r="D77" s="8"/>
      <c r="E77" s="8"/>
      <c r="F77" s="8"/>
      <c r="G77" s="8"/>
      <c r="H77" s="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3" customFormat="1" ht="20.25">
      <c r="A78" s="7" t="s">
        <v>32</v>
      </c>
      <c r="B78" s="8"/>
      <c r="C78" s="8"/>
      <c r="D78" s="8"/>
      <c r="E78" s="8"/>
      <c r="F78" s="8"/>
      <c r="G78" s="8"/>
      <c r="H78" s="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3" customFormat="1" ht="20.25">
      <c r="A79" s="7" t="s">
        <v>30</v>
      </c>
      <c r="B79" s="8"/>
      <c r="C79" s="8"/>
      <c r="D79" s="8"/>
      <c r="E79" s="8"/>
      <c r="F79" s="8"/>
      <c r="G79" s="8"/>
      <c r="H79" s="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" customFormat="1" ht="20.25">
      <c r="A80" s="7" t="s">
        <v>92</v>
      </c>
      <c r="B80" s="8"/>
      <c r="C80" s="8"/>
      <c r="D80" s="8"/>
      <c r="E80" s="8"/>
      <c r="F80" s="8"/>
      <c r="G80" s="8"/>
      <c r="H80" s="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3" customFormat="1" ht="20.25">
      <c r="A81" s="7" t="s">
        <v>91</v>
      </c>
      <c r="B81" s="8"/>
      <c r="C81" s="8"/>
      <c r="D81" s="8"/>
      <c r="E81" s="8"/>
      <c r="F81" s="8"/>
      <c r="G81" s="8"/>
      <c r="H81" s="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" customFormat="1" ht="20.25">
      <c r="A82" s="7"/>
      <c r="B82" s="8"/>
      <c r="C82" s="8"/>
      <c r="D82" s="8"/>
      <c r="E82" s="8"/>
      <c r="F82" s="8"/>
      <c r="G82" s="8"/>
      <c r="H82" s="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" customFormat="1" ht="20.25">
      <c r="A83" s="7"/>
      <c r="B83" s="8"/>
      <c r="C83" s="8"/>
      <c r="D83" s="8"/>
      <c r="E83" s="8"/>
      <c r="F83" s="8"/>
      <c r="G83" s="8"/>
      <c r="H83" s="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" customFormat="1" ht="20.25">
      <c r="A84" s="7"/>
      <c r="B84" s="8"/>
      <c r="C84" s="8"/>
      <c r="D84" s="8"/>
      <c r="E84" s="8"/>
      <c r="F84" s="8"/>
      <c r="G84" s="8"/>
      <c r="H84" s="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" customFormat="1" ht="20.25">
      <c r="A85" s="7"/>
      <c r="B85" s="8"/>
      <c r="C85" s="8"/>
      <c r="D85" s="8"/>
      <c r="E85" s="8"/>
      <c r="F85" s="8"/>
      <c r="G85" s="8"/>
      <c r="H85" s="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" customFormat="1" ht="20.25">
      <c r="A86" s="7"/>
      <c r="B86" s="8"/>
      <c r="C86" s="8"/>
      <c r="D86" s="8"/>
      <c r="E86" s="8"/>
      <c r="F86" s="8"/>
      <c r="G86" s="8"/>
      <c r="H86" s="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3" customFormat="1" ht="20.25">
      <c r="A87" s="7"/>
      <c r="B87" s="8"/>
      <c r="C87" s="8"/>
      <c r="D87" s="8"/>
      <c r="E87" s="8"/>
      <c r="F87" s="8"/>
      <c r="G87" s="8"/>
      <c r="H87" s="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3" customFormat="1" ht="20.25">
      <c r="A88" s="7"/>
      <c r="B88" s="8"/>
      <c r="C88" s="8"/>
      <c r="D88" s="8"/>
      <c r="E88" s="8"/>
      <c r="F88" s="8"/>
      <c r="G88" s="8"/>
      <c r="H88" s="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3" customFormat="1" ht="20.25">
      <c r="A89" s="7"/>
      <c r="B89" s="8"/>
      <c r="C89" s="8"/>
      <c r="D89" s="8"/>
      <c r="E89" s="8"/>
      <c r="F89" s="8"/>
      <c r="G89" s="8"/>
      <c r="H89" s="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3" customFormat="1" ht="20.25">
      <c r="A90" s="7"/>
      <c r="B90" s="8"/>
      <c r="C90" s="8"/>
      <c r="D90" s="8"/>
      <c r="E90" s="8"/>
      <c r="F90" s="8"/>
      <c r="G90" s="8"/>
      <c r="H90" s="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3" customFormat="1" ht="20.25">
      <c r="A91" s="7"/>
      <c r="B91" s="8"/>
      <c r="C91" s="8"/>
      <c r="D91" s="8"/>
      <c r="E91" s="8"/>
      <c r="F91" s="8"/>
      <c r="G91" s="8"/>
      <c r="H91" s="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3" customFormat="1" ht="20.25">
      <c r="A92" s="7"/>
      <c r="B92" s="8"/>
      <c r="C92" s="8"/>
      <c r="D92" s="8"/>
      <c r="E92" s="8"/>
      <c r="F92" s="8"/>
      <c r="G92" s="8"/>
      <c r="H92" s="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3" customFormat="1" ht="20.25">
      <c r="A93" s="7"/>
      <c r="B93" s="8"/>
      <c r="C93" s="8"/>
      <c r="D93" s="8"/>
      <c r="E93" s="8"/>
      <c r="F93" s="8"/>
      <c r="G93" s="8"/>
      <c r="H93" s="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3" customFormat="1" ht="20.25">
      <c r="A94" s="7"/>
      <c r="B94" s="8"/>
      <c r="C94" s="8"/>
      <c r="D94" s="8"/>
      <c r="E94" s="8"/>
      <c r="F94" s="8"/>
      <c r="G94" s="8"/>
      <c r="H94" s="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3" customFormat="1" ht="20.25">
      <c r="A95" s="7"/>
      <c r="B95" s="8"/>
      <c r="C95" s="8"/>
      <c r="D95" s="8"/>
      <c r="E95" s="8"/>
      <c r="F95" s="8"/>
      <c r="G95" s="8"/>
      <c r="H95" s="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3" customFormat="1" ht="20.25">
      <c r="A96" s="7"/>
      <c r="B96" s="8"/>
      <c r="C96" s="8"/>
      <c r="D96" s="8"/>
      <c r="E96" s="8"/>
      <c r="F96" s="8"/>
      <c r="G96" s="8"/>
      <c r="H96" s="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3" customFormat="1" ht="20.25">
      <c r="A97" s="7"/>
      <c r="B97" s="8"/>
      <c r="C97" s="8"/>
      <c r="D97" s="8"/>
      <c r="E97" s="8"/>
      <c r="F97" s="8"/>
      <c r="G97" s="8"/>
      <c r="H97" s="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3" customFormat="1" ht="20.25">
      <c r="A98" s="7"/>
      <c r="B98" s="8"/>
      <c r="C98" s="8"/>
      <c r="D98" s="8"/>
      <c r="E98" s="8"/>
      <c r="F98" s="8"/>
      <c r="G98" s="8"/>
      <c r="H98" s="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3" customFormat="1" ht="20.25">
      <c r="A99" s="7"/>
      <c r="B99" s="8"/>
      <c r="C99" s="8"/>
      <c r="D99" s="8"/>
      <c r="E99" s="8"/>
      <c r="F99" s="8"/>
      <c r="G99" s="8"/>
      <c r="H99" s="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3" customFormat="1" ht="20.25">
      <c r="A100" s="7"/>
      <c r="B100" s="8"/>
      <c r="C100" s="8"/>
      <c r="D100" s="8"/>
      <c r="E100" s="8"/>
      <c r="F100" s="8"/>
      <c r="G100" s="8"/>
      <c r="H100" s="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3" customFormat="1" ht="20.25">
      <c r="A101" s="7"/>
      <c r="B101" s="8"/>
      <c r="C101" s="8"/>
      <c r="D101" s="8"/>
      <c r="E101" s="8"/>
      <c r="F101" s="8"/>
      <c r="G101" s="8"/>
      <c r="H101" s="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3" customFormat="1" ht="20.25">
      <c r="A102" s="7"/>
      <c r="B102" s="8"/>
      <c r="C102" s="8"/>
      <c r="D102" s="8"/>
      <c r="E102" s="8"/>
      <c r="F102" s="8"/>
      <c r="G102" s="8"/>
      <c r="H102" s="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3" customFormat="1" ht="20.25">
      <c r="A103" s="7"/>
      <c r="B103" s="8"/>
      <c r="C103" s="8"/>
      <c r="D103" s="8"/>
      <c r="E103" s="8"/>
      <c r="F103" s="8"/>
      <c r="G103" s="8"/>
      <c r="H103" s="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3" customFormat="1" ht="20.25">
      <c r="A104" s="7"/>
      <c r="B104" s="8"/>
      <c r="C104" s="8"/>
      <c r="D104" s="8"/>
      <c r="E104" s="8"/>
      <c r="F104" s="8"/>
      <c r="G104" s="8"/>
      <c r="H104" s="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3" customFormat="1" ht="20.25">
      <c r="A105" s="7"/>
      <c r="B105" s="8"/>
      <c r="C105" s="8"/>
      <c r="D105" s="8"/>
      <c r="E105" s="8"/>
      <c r="F105" s="8"/>
      <c r="G105" s="8"/>
      <c r="H105" s="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3" customFormat="1" ht="20.25">
      <c r="A106" s="7"/>
      <c r="B106" s="8"/>
      <c r="C106" s="8"/>
      <c r="D106" s="8"/>
      <c r="E106" s="8"/>
      <c r="F106" s="8"/>
      <c r="G106" s="8"/>
      <c r="H106" s="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3" customFormat="1" ht="20.25">
      <c r="A107" s="7"/>
      <c r="B107" s="8"/>
      <c r="C107" s="8"/>
      <c r="D107" s="8"/>
      <c r="E107" s="8"/>
      <c r="F107" s="8"/>
      <c r="G107" s="8"/>
      <c r="H107" s="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3" customFormat="1" ht="20.25">
      <c r="A108" s="7"/>
      <c r="B108" s="8"/>
      <c r="C108" s="8"/>
      <c r="D108" s="8"/>
      <c r="E108" s="8"/>
      <c r="F108" s="8"/>
      <c r="G108" s="8"/>
      <c r="H108" s="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3" customFormat="1" ht="20.25">
      <c r="A109" s="7"/>
      <c r="B109" s="8"/>
      <c r="C109" s="8"/>
      <c r="D109" s="8"/>
      <c r="E109" s="8"/>
      <c r="F109" s="8"/>
      <c r="G109" s="8"/>
      <c r="H109" s="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3" customFormat="1" ht="20.25">
      <c r="A110" s="7"/>
      <c r="B110" s="8"/>
      <c r="C110" s="8"/>
      <c r="D110" s="8"/>
      <c r="E110" s="8"/>
      <c r="F110" s="8"/>
      <c r="G110" s="8"/>
      <c r="H110" s="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3" customFormat="1" ht="20.25">
      <c r="A111" s="7"/>
      <c r="B111" s="8"/>
      <c r="C111" s="8"/>
      <c r="D111" s="8"/>
      <c r="E111" s="8"/>
      <c r="F111" s="8"/>
      <c r="G111" s="8"/>
      <c r="H111" s="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3" customFormat="1" ht="20.25">
      <c r="A112" s="7"/>
      <c r="B112" s="8"/>
      <c r="C112" s="8"/>
      <c r="D112" s="8"/>
      <c r="E112" s="8"/>
      <c r="F112" s="8"/>
      <c r="G112" s="8"/>
      <c r="H112" s="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3" customFormat="1" ht="20.25">
      <c r="A113" s="7"/>
      <c r="B113" s="8"/>
      <c r="C113" s="8"/>
      <c r="D113" s="8"/>
      <c r="E113" s="8"/>
      <c r="F113" s="8"/>
      <c r="G113" s="8"/>
      <c r="H113" s="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3" customFormat="1" ht="20.25">
      <c r="A114" s="7"/>
      <c r="B114" s="8"/>
      <c r="C114" s="8"/>
      <c r="D114" s="8"/>
      <c r="E114" s="8"/>
      <c r="F114" s="8"/>
      <c r="G114" s="8"/>
      <c r="H114" s="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3" customFormat="1" ht="20.25">
      <c r="A115" s="7"/>
      <c r="B115" s="8"/>
      <c r="C115" s="8"/>
      <c r="D115" s="8"/>
      <c r="E115" s="8"/>
      <c r="F115" s="8"/>
      <c r="G115" s="8"/>
      <c r="H115" s="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3" customFormat="1" ht="20.25">
      <c r="A116" s="7"/>
      <c r="B116" s="8"/>
      <c r="C116" s="8"/>
      <c r="D116" s="8"/>
      <c r="E116" s="8"/>
      <c r="F116" s="8"/>
      <c r="G116" s="8"/>
      <c r="H116" s="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3" customFormat="1" ht="20.25">
      <c r="A117" s="7"/>
      <c r="B117" s="8"/>
      <c r="C117" s="8"/>
      <c r="D117" s="8"/>
      <c r="E117" s="8"/>
      <c r="F117" s="8"/>
      <c r="G117" s="8"/>
      <c r="H117" s="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s="3" customFormat="1" ht="20.25">
      <c r="A118" s="7"/>
      <c r="B118" s="8"/>
      <c r="C118" s="8"/>
      <c r="D118" s="8"/>
      <c r="E118" s="8"/>
      <c r="F118" s="8"/>
      <c r="G118" s="8"/>
      <c r="H118" s="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s="3" customFormat="1" ht="20.25">
      <c r="A119" s="7"/>
      <c r="B119" s="8"/>
      <c r="C119" s="8"/>
      <c r="D119" s="8"/>
      <c r="E119" s="8"/>
      <c r="F119" s="8"/>
      <c r="G119" s="8"/>
      <c r="H119" s="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s="3" customFormat="1" ht="20.25">
      <c r="A120" s="7"/>
      <c r="B120" s="8"/>
      <c r="C120" s="8"/>
      <c r="D120" s="8"/>
      <c r="E120" s="8"/>
      <c r="F120" s="8"/>
      <c r="G120" s="8"/>
      <c r="H120" s="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s="3" customFormat="1" ht="20.25">
      <c r="A121" s="7"/>
      <c r="B121" s="8"/>
      <c r="C121" s="8"/>
      <c r="D121" s="8"/>
      <c r="E121" s="8"/>
      <c r="F121" s="8"/>
      <c r="G121" s="8"/>
      <c r="H121" s="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s="3" customFormat="1" ht="20.25">
      <c r="A122" s="7"/>
      <c r="B122" s="8"/>
      <c r="C122" s="8"/>
      <c r="D122" s="8"/>
      <c r="E122" s="8"/>
      <c r="F122" s="8"/>
      <c r="G122" s="8"/>
      <c r="H122" s="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s="3" customFormat="1" ht="20.25">
      <c r="A123" s="7"/>
      <c r="B123" s="8"/>
      <c r="C123" s="8"/>
      <c r="D123" s="8"/>
      <c r="E123" s="8"/>
      <c r="F123" s="8"/>
      <c r="G123" s="8"/>
      <c r="H123" s="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s="3" customFormat="1" ht="20.25">
      <c r="A124" s="7"/>
      <c r="B124" s="8"/>
      <c r="C124" s="8"/>
      <c r="D124" s="8"/>
      <c r="E124" s="8"/>
      <c r="F124" s="8"/>
      <c r="G124" s="8"/>
      <c r="H124" s="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s="3" customFormat="1" ht="20.25" hidden="1">
      <c r="B125" s="13" t="e">
        <f>+#REF!+#REF!+#REF!+#REF!+#REF!-B33-B36</f>
        <v>#REF!</v>
      </c>
      <c r="C125" s="13"/>
      <c r="D125" s="13"/>
      <c r="E125" s="13"/>
      <c r="F125" s="13"/>
      <c r="G125" s="13"/>
      <c r="H125" s="1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s="3" customFormat="1" ht="20.25">
      <c r="A126" s="14"/>
      <c r="B126" s="13"/>
      <c r="C126" s="13"/>
      <c r="D126" s="13"/>
      <c r="E126" s="13"/>
      <c r="F126" s="13"/>
      <c r="G126" s="13"/>
      <c r="H126" s="1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s="3" customFormat="1" ht="20.25" hidden="1">
      <c r="A127" s="9"/>
      <c r="B127" s="13"/>
      <c r="C127" s="13"/>
      <c r="D127" s="13"/>
      <c r="E127" s="13"/>
      <c r="F127" s="13"/>
      <c r="G127" s="13"/>
      <c r="H127" s="1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s="3" customFormat="1" ht="2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9:23" s="3" customFormat="1" ht="20.25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9:23" s="3" customFormat="1" ht="20.25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9:23" s="3" customFormat="1" ht="20.25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9:23" s="3" customFormat="1" ht="20.25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9:23" s="3" customFormat="1" ht="20.2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11" ht="20.25">
      <c r="B134" s="2"/>
      <c r="C134" s="2"/>
      <c r="D134" s="2"/>
      <c r="E134" s="2"/>
      <c r="F134" s="2"/>
      <c r="G134" s="2"/>
      <c r="H134" s="2"/>
      <c r="I134" s="4"/>
      <c r="J134" s="4"/>
      <c r="K134" s="4"/>
    </row>
    <row r="135" spans="9:23" s="3" customFormat="1" ht="20.25"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9:23" s="3" customFormat="1" ht="20.25">
      <c r="I136" s="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9:23" s="3" customFormat="1" ht="20.25">
      <c r="I137" s="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9:23" s="3" customFormat="1" ht="20.25">
      <c r="I138" s="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9:23" s="3" customFormat="1" ht="20.25">
      <c r="I139" s="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9:23" s="3" customFormat="1" ht="20.25">
      <c r="I140" s="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9:23" s="3" customFormat="1" ht="20.25">
      <c r="I141" s="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9:23" s="3" customFormat="1" ht="20.25">
      <c r="I142" s="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9:23" s="3" customFormat="1" ht="20.25">
      <c r="I143" s="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9:23" s="3" customFormat="1" ht="20.25">
      <c r="I144" s="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9:23" s="3" customFormat="1" ht="20.2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9:23" s="3" customFormat="1" ht="20.2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9:23" s="3" customFormat="1" ht="20.2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9:23" s="3" customFormat="1" ht="20.2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9:23" s="3" customFormat="1" ht="20.2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9:23" s="3" customFormat="1" ht="20.2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9:23" s="3" customFormat="1" ht="20.2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9:23" s="3" customFormat="1" ht="20.2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9:23" s="3" customFormat="1" ht="20.2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9:23" s="3" customFormat="1" ht="20.2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9:23" s="3" customFormat="1" ht="20.2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9:23" s="3" customFormat="1" ht="20.2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9:23" s="3" customFormat="1" ht="20.2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16" ht="20.25">
      <c r="B158" s="2"/>
      <c r="C158" s="2"/>
      <c r="D158" s="2"/>
      <c r="E158" s="2"/>
      <c r="F158" s="2"/>
      <c r="G158" s="2"/>
      <c r="H158" s="2"/>
      <c r="I158" s="4"/>
      <c r="J158" s="4"/>
      <c r="K158" s="4"/>
      <c r="L158" s="4"/>
      <c r="M158" s="4"/>
      <c r="N158" s="4"/>
      <c r="O158" s="4"/>
      <c r="P158" s="4"/>
    </row>
    <row r="159" spans="9:23" s="3" customFormat="1" ht="20.2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9:23" s="3" customFormat="1" ht="20.2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9:23" s="3" customFormat="1" ht="20.25" hidden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9:23" s="3" customFormat="1" ht="20.25" hidden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9:23" s="3" customFormat="1" ht="20.2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8" ht="20.25">
      <c r="B164" s="2"/>
      <c r="C164" s="2"/>
      <c r="D164" s="2"/>
      <c r="E164" s="2"/>
      <c r="F164" s="2"/>
      <c r="G164" s="2"/>
      <c r="H164" s="2"/>
    </row>
    <row r="165" spans="2:8" ht="20.25">
      <c r="B165" s="2"/>
      <c r="C165" s="2"/>
      <c r="D165" s="2"/>
      <c r="E165" s="2"/>
      <c r="F165" s="2"/>
      <c r="G165" s="2"/>
      <c r="H165" s="2"/>
    </row>
    <row r="166" spans="2:8" ht="20.25">
      <c r="B166" s="2"/>
      <c r="C166" s="2"/>
      <c r="D166" s="2"/>
      <c r="E166" s="2"/>
      <c r="F166" s="2"/>
      <c r="G166" s="2"/>
      <c r="H166" s="2"/>
    </row>
    <row r="167" spans="2:8" ht="20.25">
      <c r="B167" s="2"/>
      <c r="C167" s="2"/>
      <c r="D167" s="2"/>
      <c r="E167" s="2"/>
      <c r="F167" s="2"/>
      <c r="G167" s="2"/>
      <c r="H167" s="2"/>
    </row>
    <row r="168" spans="2:8" ht="20.25">
      <c r="B168" s="2"/>
      <c r="C168" s="2"/>
      <c r="D168" s="2"/>
      <c r="E168" s="2"/>
      <c r="F168" s="2"/>
      <c r="G168" s="2"/>
      <c r="H168" s="2"/>
    </row>
    <row r="169" spans="9:23" s="3" customFormat="1" ht="20.2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9:23" s="3" customFormat="1" ht="20.2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9:23" s="3" customFormat="1" ht="20.25" hidden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9:23" s="3" customFormat="1" ht="20.2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9:23" s="3" customFormat="1" ht="20.2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9:23" s="3" customFormat="1" ht="20.2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8" ht="20.25">
      <c r="B175" s="2"/>
      <c r="C175" s="2"/>
      <c r="D175" s="2"/>
      <c r="E175" s="2"/>
      <c r="F175" s="2"/>
      <c r="G175" s="2"/>
      <c r="H175" s="2"/>
    </row>
    <row r="176" spans="2:8" ht="20.25">
      <c r="B176" s="2"/>
      <c r="C176" s="2"/>
      <c r="D176" s="2"/>
      <c r="E176" s="2"/>
      <c r="F176" s="2"/>
      <c r="G176" s="2"/>
      <c r="H176" s="2"/>
    </row>
    <row r="177" spans="2:8" ht="20.25" hidden="1">
      <c r="B177" s="2"/>
      <c r="C177" s="2"/>
      <c r="D177" s="2"/>
      <c r="E177" s="2"/>
      <c r="F177" s="2"/>
      <c r="G177" s="2"/>
      <c r="H177" s="2"/>
    </row>
    <row r="178" spans="2:8" ht="20.25">
      <c r="B178" s="2"/>
      <c r="C178" s="2"/>
      <c r="D178" s="2"/>
      <c r="E178" s="2"/>
      <c r="F178" s="2"/>
      <c r="G178" s="2"/>
      <c r="H178" s="2"/>
    </row>
    <row r="179" spans="2:8" ht="20.25">
      <c r="B179" s="2"/>
      <c r="C179" s="2"/>
      <c r="D179" s="2"/>
      <c r="E179" s="2"/>
      <c r="F179" s="2"/>
      <c r="G179" s="2"/>
      <c r="H179" s="2"/>
    </row>
    <row r="180" spans="2:8" ht="20.25">
      <c r="B180" s="2"/>
      <c r="C180" s="2"/>
      <c r="D180" s="2"/>
      <c r="E180" s="2"/>
      <c r="F180" s="2"/>
      <c r="G180" s="2"/>
      <c r="H180" s="2"/>
    </row>
    <row r="181" spans="9:23" s="3" customFormat="1" ht="20.2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9:23" s="3" customFormat="1" ht="20.25">
      <c r="I182" s="1"/>
      <c r="J182" s="1"/>
      <c r="K182" s="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9:23" s="3" customFormat="1" ht="20.25">
      <c r="I183" s="8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20.25">
      <c r="A184" s="3"/>
    </row>
    <row r="185" ht="20.25">
      <c r="A185" s="3"/>
    </row>
    <row r="186" ht="20.25">
      <c r="A186" s="3"/>
    </row>
    <row r="187" ht="20.25">
      <c r="A187" s="3"/>
    </row>
    <row r="188" ht="20.25">
      <c r="A188" s="3"/>
    </row>
    <row r="189" ht="20.25">
      <c r="A189" s="3"/>
    </row>
    <row r="190" ht="20.25">
      <c r="A190" s="3"/>
    </row>
    <row r="191" ht="20.25">
      <c r="A191" s="3"/>
    </row>
  </sheetData>
  <sheetProtection/>
  <mergeCells count="3">
    <mergeCell ref="A1:H1"/>
    <mergeCell ref="A2:H2"/>
    <mergeCell ref="A3:H3"/>
  </mergeCells>
  <conditionalFormatting sqref="B50:H5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/>
  <pageMargins left="0" right="0" top="0" bottom="0" header="0.5" footer="0.5"/>
  <pageSetup fitToHeight="1" fitToWidth="1" horizontalDpi="600" verticalDpi="600" orientation="portrait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7"/>
  <sheetViews>
    <sheetView zoomScale="125" zoomScaleNormal="125" zoomScalePageLayoutView="0" workbookViewId="0" topLeftCell="A28">
      <selection activeCell="J31" sqref="J31"/>
    </sheetView>
  </sheetViews>
  <sheetFormatPr defaultColWidth="9.140625" defaultRowHeight="12.75"/>
  <cols>
    <col min="1" max="1" width="9.140625" style="34" customWidth="1"/>
    <col min="2" max="2" width="14.28125" style="34" customWidth="1"/>
    <col min="3" max="16384" width="9.140625" style="34" customWidth="1"/>
  </cols>
  <sheetData>
    <row r="1" ht="15"/>
    <row r="2" spans="1:7" ht="18.75">
      <c r="A2" s="89" t="s">
        <v>105</v>
      </c>
      <c r="B2" s="89"/>
      <c r="C2" s="89"/>
      <c r="D2" s="89"/>
      <c r="E2" s="89"/>
      <c r="F2" s="89"/>
      <c r="G2" s="89"/>
    </row>
    <row r="3" spans="1:23" s="2" customFormat="1" ht="27" customHeight="1">
      <c r="A3" s="90" t="s">
        <v>104</v>
      </c>
      <c r="B3" s="90"/>
      <c r="C3" s="90"/>
      <c r="D3" s="90"/>
      <c r="E3" s="90"/>
      <c r="F3" s="90"/>
      <c r="G3" s="90"/>
      <c r="H3" s="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5"/>
    <row r="5" spans="1:7" ht="15.75">
      <c r="A5" s="35" t="s">
        <v>41</v>
      </c>
      <c r="B5" s="36"/>
      <c r="C5" s="36"/>
      <c r="D5" s="36"/>
      <c r="E5" s="36"/>
      <c r="F5" s="36"/>
      <c r="G5" s="36"/>
    </row>
    <row r="6" ht="15"/>
    <row r="7" spans="2:3" ht="15">
      <c r="B7" s="56">
        <v>110310.55</v>
      </c>
      <c r="C7" s="37" t="s">
        <v>42</v>
      </c>
    </row>
    <row r="8" spans="2:3" ht="15">
      <c r="B8" s="56">
        <f>4901.89+16482.37</f>
        <v>21384.26</v>
      </c>
      <c r="C8" s="37" t="s">
        <v>43</v>
      </c>
    </row>
    <row r="9" spans="2:3" ht="15">
      <c r="B9" s="56">
        <v>5860.6</v>
      </c>
      <c r="C9" s="37" t="s">
        <v>45</v>
      </c>
    </row>
    <row r="10" spans="2:3" ht="15">
      <c r="B10" s="56">
        <v>18376.12</v>
      </c>
      <c r="C10" s="37" t="s">
        <v>44</v>
      </c>
    </row>
    <row r="11" spans="2:3" ht="15">
      <c r="B11" s="56">
        <v>117283.36</v>
      </c>
      <c r="C11" s="46" t="s">
        <v>62</v>
      </c>
    </row>
    <row r="12" spans="2:3" ht="15">
      <c r="B12" s="57">
        <v>885.69</v>
      </c>
      <c r="C12" s="46" t="s">
        <v>106</v>
      </c>
    </row>
    <row r="13" ht="9.75" customHeight="1">
      <c r="B13" s="56"/>
    </row>
    <row r="14" spans="2:3" ht="15">
      <c r="B14" s="58">
        <f>SUM(B7:B12)</f>
        <v>274100.58</v>
      </c>
      <c r="C14" s="38" t="s">
        <v>46</v>
      </c>
    </row>
    <row r="15" ht="15">
      <c r="B15" s="56"/>
    </row>
    <row r="16" spans="2:3" ht="15">
      <c r="B16" s="56">
        <v>90908.6</v>
      </c>
      <c r="C16" s="37" t="s">
        <v>47</v>
      </c>
    </row>
    <row r="17" spans="2:3" ht="15">
      <c r="B17" s="56">
        <f>4028.94+13590.84</f>
        <v>17619.78</v>
      </c>
      <c r="C17" s="37" t="s">
        <v>48</v>
      </c>
    </row>
    <row r="18" spans="2:3" ht="15">
      <c r="B18" s="56">
        <v>4848.6</v>
      </c>
      <c r="C18" s="37" t="s">
        <v>50</v>
      </c>
    </row>
    <row r="19" spans="2:3" ht="15">
      <c r="B19" s="56">
        <v>14860.02</v>
      </c>
      <c r="C19" s="37" t="s">
        <v>49</v>
      </c>
    </row>
    <row r="20" spans="2:3" ht="15">
      <c r="B20" s="56">
        <v>98095.64</v>
      </c>
      <c r="C20" s="46" t="s">
        <v>63</v>
      </c>
    </row>
    <row r="21" spans="2:3" ht="15">
      <c r="B21" s="57">
        <v>760.25</v>
      </c>
      <c r="C21" s="46" t="s">
        <v>107</v>
      </c>
    </row>
    <row r="22" spans="2:3" ht="9" customHeight="1">
      <c r="B22" s="56"/>
      <c r="C22" s="37"/>
    </row>
    <row r="23" spans="2:3" ht="15">
      <c r="B23" s="58">
        <f>SUM(B16:B21)</f>
        <v>227092.89</v>
      </c>
      <c r="C23" s="38" t="s">
        <v>51</v>
      </c>
    </row>
    <row r="24" spans="2:4" ht="15">
      <c r="B24" s="39"/>
      <c r="C24" s="39"/>
      <c r="D24" s="39"/>
    </row>
    <row r="25" spans="1:7" ht="15">
      <c r="A25" s="36"/>
      <c r="B25" s="40">
        <f>B14+B23</f>
        <v>501193.47000000003</v>
      </c>
      <c r="C25" s="41" t="s">
        <v>52</v>
      </c>
      <c r="D25" s="41"/>
      <c r="E25" s="36"/>
      <c r="F25" s="36"/>
      <c r="G25" s="36"/>
    </row>
    <row r="26" spans="1:7" ht="15">
      <c r="A26" s="42"/>
      <c r="B26" s="42"/>
      <c r="C26" s="42"/>
      <c r="D26" s="42"/>
      <c r="E26" s="42"/>
      <c r="F26" s="42"/>
      <c r="G26" s="42"/>
    </row>
    <row r="28" spans="1:7" ht="15.75">
      <c r="A28" s="35" t="s">
        <v>53</v>
      </c>
      <c r="B28" s="35"/>
      <c r="C28" s="35"/>
      <c r="D28" s="35"/>
      <c r="E28" s="35"/>
      <c r="F28" s="35"/>
      <c r="G28" s="35"/>
    </row>
    <row r="30" spans="2:3" ht="15">
      <c r="B30" s="56">
        <f>48854.54+12046.16+9681.93+8480.7</f>
        <v>79063.33</v>
      </c>
      <c r="C30" s="37" t="s">
        <v>54</v>
      </c>
    </row>
    <row r="31" spans="2:3" ht="15">
      <c r="B31" s="56">
        <f>67634.44+16711.41+25013.41+10949.16</f>
        <v>120308.42000000001</v>
      </c>
      <c r="C31" s="46" t="s">
        <v>64</v>
      </c>
    </row>
    <row r="32" spans="2:3" ht="15">
      <c r="B32" s="57">
        <f>179672.62+43471.91+31533.27+30659.82</f>
        <v>285337.62</v>
      </c>
      <c r="C32" s="37" t="s">
        <v>55</v>
      </c>
    </row>
    <row r="33" ht="8.25" customHeight="1">
      <c r="B33" s="56"/>
    </row>
    <row r="34" spans="2:3" ht="17.25" customHeight="1">
      <c r="B34" s="58">
        <f>SUM(B30:B32)</f>
        <v>484709.37</v>
      </c>
      <c r="C34" s="38" t="s">
        <v>56</v>
      </c>
    </row>
    <row r="35" ht="15">
      <c r="B35" s="56"/>
    </row>
    <row r="36" spans="2:3" ht="15">
      <c r="B36" s="56"/>
      <c r="C36" s="37" t="s">
        <v>57</v>
      </c>
    </row>
    <row r="37" spans="2:3" ht="15">
      <c r="B37" s="57">
        <v>96180.49</v>
      </c>
      <c r="C37" s="46" t="s">
        <v>65</v>
      </c>
    </row>
    <row r="38" ht="8.25" customHeight="1">
      <c r="B38" s="56"/>
    </row>
    <row r="39" spans="2:3" ht="15">
      <c r="B39" s="58">
        <f>SUM(B36:B37)</f>
        <v>96180.49</v>
      </c>
      <c r="C39" s="38" t="s">
        <v>58</v>
      </c>
    </row>
    <row r="41" spans="1:7" ht="15">
      <c r="A41" s="41"/>
      <c r="B41" s="40">
        <f>B34+B39</f>
        <v>580889.86</v>
      </c>
      <c r="C41" s="43" t="s">
        <v>59</v>
      </c>
      <c r="D41" s="41"/>
      <c r="E41" s="41"/>
      <c r="F41" s="41"/>
      <c r="G41" s="41"/>
    </row>
    <row r="42" spans="1:7" ht="15">
      <c r="A42" s="42"/>
      <c r="B42" s="42"/>
      <c r="C42" s="42"/>
      <c r="D42" s="42"/>
      <c r="E42" s="42"/>
      <c r="F42" s="42"/>
      <c r="G42" s="42"/>
    </row>
    <row r="44" spans="1:7" ht="15">
      <c r="A44" s="41" t="s">
        <v>60</v>
      </c>
      <c r="B44" s="41"/>
      <c r="C44" s="41"/>
      <c r="D44" s="41"/>
      <c r="E44" s="41"/>
      <c r="F44" s="41"/>
      <c r="G44" s="41"/>
    </row>
    <row r="46" spans="2:3" ht="15">
      <c r="B46" s="55">
        <v>15871</v>
      </c>
      <c r="C46" s="46" t="s">
        <v>71</v>
      </c>
    </row>
    <row r="47" spans="2:3" ht="15">
      <c r="B47" s="55">
        <v>19937.6</v>
      </c>
      <c r="C47" s="46" t="s">
        <v>70</v>
      </c>
    </row>
    <row r="48" spans="2:3" ht="15">
      <c r="B48" s="56">
        <f>102209.7-B37</f>
        <v>6029.209999999992</v>
      </c>
      <c r="C48" s="46" t="s">
        <v>67</v>
      </c>
    </row>
    <row r="49" spans="2:3" ht="15">
      <c r="B49" s="55">
        <v>616.31</v>
      </c>
      <c r="C49" s="46" t="s">
        <v>74</v>
      </c>
    </row>
    <row r="50" spans="2:3" ht="15">
      <c r="B50" s="55">
        <v>94060.23</v>
      </c>
      <c r="C50" s="46" t="s">
        <v>97</v>
      </c>
    </row>
    <row r="51" spans="2:3" ht="15">
      <c r="B51" s="55">
        <v>41.17</v>
      </c>
      <c r="C51" s="46" t="s">
        <v>66</v>
      </c>
    </row>
    <row r="52" spans="2:3" ht="15">
      <c r="B52" s="55">
        <v>470225.37</v>
      </c>
      <c r="C52" s="46" t="s">
        <v>75</v>
      </c>
    </row>
    <row r="53" spans="2:3" ht="15">
      <c r="B53" s="62">
        <v>26571.63</v>
      </c>
      <c r="C53" s="46" t="s">
        <v>73</v>
      </c>
    </row>
    <row r="54" ht="9" customHeight="1">
      <c r="B54" s="44"/>
    </row>
    <row r="55" spans="1:7" ht="15">
      <c r="A55" s="36"/>
      <c r="B55" s="45">
        <f>SUM(B46:B53)</f>
        <v>633352.52</v>
      </c>
      <c r="C55" s="43" t="s">
        <v>61</v>
      </c>
      <c r="D55" s="36"/>
      <c r="E55" s="36"/>
      <c r="F55" s="36"/>
      <c r="G55" s="36"/>
    </row>
    <row r="56" ht="15">
      <c r="B56" s="44"/>
    </row>
    <row r="57" ht="15">
      <c r="B57" s="44"/>
    </row>
  </sheetData>
  <sheetProtection/>
  <mergeCells count="2">
    <mergeCell ref="A2:G2"/>
    <mergeCell ref="A3:G3"/>
  </mergeCells>
  <printOptions horizontalCentered="1"/>
  <pageMargins left="0.7" right="0.7" top="0.75" bottom="0.75" header="0.3" footer="0.3"/>
  <pageSetup horizontalDpi="600" verticalDpi="600" orientation="portrait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4.28125" style="69" customWidth="1"/>
    <col min="2" max="2" width="7.00390625" style="0" customWidth="1"/>
    <col min="3" max="3" width="18.7109375" style="67" bestFit="1" customWidth="1"/>
    <col min="6" max="6" width="10.7109375" style="0" bestFit="1" customWidth="1"/>
  </cols>
  <sheetData>
    <row r="2" spans="1:8" ht="20.25">
      <c r="A2" s="92" t="s">
        <v>108</v>
      </c>
      <c r="B2" s="92"/>
      <c r="C2" s="92"/>
      <c r="D2" s="92"/>
      <c r="E2" s="92"/>
      <c r="F2" s="92"/>
      <c r="G2" s="92"/>
      <c r="H2" s="92"/>
    </row>
    <row r="3" spans="1:8" ht="20.25">
      <c r="A3" s="63"/>
      <c r="B3" s="63"/>
      <c r="C3" s="63"/>
      <c r="D3" s="63"/>
      <c r="E3" s="63"/>
      <c r="F3" s="63"/>
      <c r="G3" s="63"/>
      <c r="H3" s="63"/>
    </row>
    <row r="4" spans="1:8" ht="20.25">
      <c r="A4" s="63"/>
      <c r="B4" s="63"/>
      <c r="C4" s="63"/>
      <c r="D4" s="63"/>
      <c r="E4" s="63"/>
      <c r="F4" s="63"/>
      <c r="G4" s="63"/>
      <c r="H4" s="63"/>
    </row>
    <row r="7" spans="1:3" ht="18.75">
      <c r="A7" s="64" t="s">
        <v>109</v>
      </c>
      <c r="C7" s="65">
        <f>'new version'!F52</f>
        <v>1510184.0849270076</v>
      </c>
    </row>
    <row r="8" ht="11.25" customHeight="1">
      <c r="A8" s="66"/>
    </row>
    <row r="9" spans="1:3" ht="18.75">
      <c r="A9" s="64" t="s">
        <v>110</v>
      </c>
      <c r="C9" s="68">
        <f>'new version'!B52</f>
        <v>270032</v>
      </c>
    </row>
    <row r="10" ht="10.5" customHeight="1"/>
    <row r="11" spans="1:3" ht="20.25">
      <c r="A11" s="23" t="s">
        <v>111</v>
      </c>
      <c r="C11" s="70">
        <f>C7-C9</f>
        <v>1240152.0849270076</v>
      </c>
    </row>
    <row r="13" spans="1:8" ht="18.75">
      <c r="A13" s="71"/>
      <c r="B13" s="72"/>
      <c r="C13" s="73"/>
      <c r="D13" s="72"/>
      <c r="E13" s="72"/>
      <c r="F13" s="72"/>
      <c r="G13" s="72"/>
      <c r="H13" s="72"/>
    </row>
    <row r="14" spans="1:3" s="75" customFormat="1" ht="18.75">
      <c r="A14" s="74"/>
      <c r="C14" s="76"/>
    </row>
    <row r="16" ht="18.75">
      <c r="A16" s="77" t="s">
        <v>112</v>
      </c>
    </row>
    <row r="17" ht="10.5" customHeight="1"/>
    <row r="18" spans="1:4" ht="18.75">
      <c r="A18" s="78" t="s">
        <v>113</v>
      </c>
      <c r="C18" s="67">
        <f>'new version'!F7-'new version'!B7</f>
        <v>111602</v>
      </c>
      <c r="D18" s="79" t="s">
        <v>114</v>
      </c>
    </row>
    <row r="19" spans="1:4" ht="18.75">
      <c r="A19" s="80" t="s">
        <v>41</v>
      </c>
      <c r="C19" s="67">
        <f>'new version'!F22-'new version'!B22</f>
        <v>-83948.58233576652</v>
      </c>
      <c r="D19" s="79" t="s">
        <v>127</v>
      </c>
    </row>
    <row r="20" spans="1:8" ht="59.25" customHeight="1">
      <c r="A20" s="81" t="s">
        <v>53</v>
      </c>
      <c r="B20" s="82"/>
      <c r="C20" s="83">
        <f>'new version'!F23-'new version'!B23</f>
        <v>-34597.86532846722</v>
      </c>
      <c r="D20" s="91" t="s">
        <v>128</v>
      </c>
      <c r="E20" s="91"/>
      <c r="F20" s="91"/>
      <c r="G20" s="91"/>
      <c r="H20" s="91"/>
    </row>
    <row r="21" spans="1:4" ht="18.75">
      <c r="A21" s="80" t="s">
        <v>115</v>
      </c>
      <c r="C21" s="67">
        <v>470225</v>
      </c>
      <c r="D21" s="79" t="s">
        <v>116</v>
      </c>
    </row>
    <row r="22" spans="1:4" ht="18.75">
      <c r="A22" s="78" t="s">
        <v>117</v>
      </c>
      <c r="C22" s="67">
        <v>126000</v>
      </c>
      <c r="D22" s="79" t="s">
        <v>118</v>
      </c>
    </row>
    <row r="23" spans="1:3" ht="18.75">
      <c r="A23" s="78" t="s">
        <v>119</v>
      </c>
      <c r="C23" s="68">
        <v>7480</v>
      </c>
    </row>
    <row r="24" ht="18.75">
      <c r="A24" s="78"/>
    </row>
    <row r="25" spans="1:3" ht="18.75">
      <c r="A25" s="66" t="s">
        <v>120</v>
      </c>
      <c r="C25" s="70">
        <f>SUM(C18:C23)</f>
        <v>596760.5523357663</v>
      </c>
    </row>
    <row r="26" ht="11.25" customHeight="1"/>
    <row r="28" ht="18.75">
      <c r="A28" s="77" t="s">
        <v>121</v>
      </c>
    </row>
    <row r="29" ht="12" customHeight="1"/>
    <row r="30" spans="1:3" ht="18.75">
      <c r="A30" s="78" t="s">
        <v>122</v>
      </c>
      <c r="C30" s="67">
        <f>-('new version'!F33-'new version'!B33)</f>
        <v>228994.00412408728</v>
      </c>
    </row>
    <row r="31" spans="1:3" ht="18.75">
      <c r="A31" s="78" t="s">
        <v>123</v>
      </c>
      <c r="C31" s="67">
        <f>-('new version'!F36-'new version'!B36)</f>
        <v>383470.58029197087</v>
      </c>
    </row>
    <row r="32" spans="1:3" ht="18.75">
      <c r="A32" s="78" t="s">
        <v>124</v>
      </c>
      <c r="C32" s="68">
        <f>-('new version'!F37-'new version'!B37)</f>
        <v>30927.047445255477</v>
      </c>
    </row>
    <row r="33" ht="18.75">
      <c r="A33" s="78"/>
    </row>
    <row r="34" spans="1:3" ht="18.75">
      <c r="A34" s="66" t="s">
        <v>125</v>
      </c>
      <c r="C34" s="70">
        <f>SUM(C30:C32)</f>
        <v>643391.6318613136</v>
      </c>
    </row>
    <row r="35" ht="18.75">
      <c r="A35" s="78"/>
    </row>
    <row r="36" ht="18.75">
      <c r="A36" s="78"/>
    </row>
    <row r="37" spans="1:8" ht="18.75">
      <c r="A37" s="84" t="s">
        <v>126</v>
      </c>
      <c r="B37" s="72"/>
      <c r="C37" s="85">
        <f>C25+C34</f>
        <v>1240152.1841970799</v>
      </c>
      <c r="D37" s="72"/>
      <c r="E37" s="72"/>
      <c r="F37" s="86"/>
      <c r="G37" s="72"/>
      <c r="H37" s="72"/>
    </row>
    <row r="38" ht="18.75">
      <c r="A38" s="78"/>
    </row>
  </sheetData>
  <sheetProtection/>
  <mergeCells count="2">
    <mergeCell ref="D20:H20"/>
    <mergeCell ref="A2:H2"/>
  </mergeCells>
  <printOptions horizontalCentered="1"/>
  <pageMargins left="0.75" right="0.75" top="0.75" bottom="0.5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smorgan</dc:creator>
  <cp:keywords/>
  <dc:description/>
  <cp:lastModifiedBy>Sadikova, Tamara</cp:lastModifiedBy>
  <cp:lastPrinted>2015-04-20T19:45:19Z</cp:lastPrinted>
  <dcterms:created xsi:type="dcterms:W3CDTF">2009-06-18T17:39:18Z</dcterms:created>
  <dcterms:modified xsi:type="dcterms:W3CDTF">2015-05-08T20:25:44Z</dcterms:modified>
  <cp:category/>
  <cp:version/>
  <cp:contentType/>
  <cp:contentStatus/>
</cp:coreProperties>
</file>